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UaExjh2BT2LhdaaHclZpIm7rjcRTjSklvHv6PH+lFc5hTaW3HHgASbx4LIzCyqmLtAZG+EbuTm4NXCY4i6EXw==" workbookSaltValue="h2cnY0txrtSADFdc6iRRr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H10" i="11"/>
  <c r="BI9" i="11"/>
  <c r="AQ10" i="21"/>
  <c r="BJ10" i="11"/>
  <c r="BK16" i="11"/>
  <c r="BH11" i="11"/>
  <c r="BG16" i="11"/>
  <c r="BH16" i="11"/>
  <c r="AQ12" i="21"/>
  <c r="BJ16" i="11"/>
  <c r="BL16" i="11"/>
  <c r="BD9" i="8"/>
  <c r="AH13" i="16"/>
  <c r="AL20" i="20"/>
  <c r="E20" i="20"/>
  <c r="AC20" i="20"/>
  <c r="C10" i="14" l="1"/>
  <c r="K10" i="14" s="1"/>
  <c r="H17" i="2"/>
  <c r="BF16" i="13"/>
  <c r="BG15" i="8"/>
  <c r="K15" i="7" s="1"/>
  <c r="B12" i="6"/>
  <c r="BK10" i="11"/>
  <c r="BH12" i="16"/>
  <c r="BM9" i="11"/>
  <c r="BF15" i="11"/>
  <c r="BM17" i="11"/>
  <c r="Q15" i="17"/>
  <c r="BH10" i="16"/>
  <c r="BL10" i="11"/>
  <c r="BL15" i="11"/>
  <c r="BF12" i="11"/>
  <c r="P15" i="17"/>
  <c r="AZ16" i="11"/>
  <c r="BV9" i="16"/>
  <c r="BW10" i="20"/>
  <c r="BW15" i="20"/>
  <c r="BW16" i="20"/>
  <c r="BW17" i="20"/>
  <c r="BU15" i="17"/>
  <c r="BM15" i="11"/>
  <c r="BL11" i="11"/>
  <c r="BI17" i="11"/>
  <c r="BJ11" i="11"/>
  <c r="Q10" i="21"/>
  <c r="V11" i="11"/>
  <c r="BL12" i="11"/>
  <c r="BF16" i="11"/>
  <c r="P17" i="17"/>
  <c r="BG10" i="11"/>
  <c r="BL9" i="11"/>
  <c r="BF11"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<sst xmlns="http://schemas.openxmlformats.org/spreadsheetml/2006/main" count="2080" uniqueCount="904">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</sst>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900</v>
      </c>
      <c r="C10" s="381"/>
      <c r="D10" s="381"/>
      <c r="E10" s="390"/>
      <c r="F10" s="3"/>
      <c r="Q10" s="355">
        <v>0</v>
      </c>
    </row>
    <row r="11" spans="1:19" ht="13.5" thickBot="1">
      <c r="A11" s="391" t="s">
        <v>902</v>
      </c>
      <c r="B11" s="392" t="s">
        <v>903</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MeSks45wkx3xBKQUaMJ/BRkpq/11yKZylp1m6Kj9Z8hIwVkCQALpZx8WL/zEbs0PUc9IFuKBGkSm6qwFahNuQ==" saltValue="qDPce+btkO+vh1A+8g/s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28.409588159588161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132</v>
      </c>
      <c r="D10" s="229">
        <f>IF(ISNUMBER(Datos!I10),Datos!I10," - ")</f>
        <v>132</v>
      </c>
      <c r="E10" s="230">
        <f>IF(ISNUMBER(Datos!J10),Datos!J10," - ")</f>
        <v>58</v>
      </c>
      <c r="F10" s="230">
        <f>IF(ISNUMBER(Datos!K10),Datos!K10," - ")</f>
        <v>68</v>
      </c>
      <c r="G10" s="1189" t="str">
        <f>IF(Datos!E10&lt;&gt;"",Datos!E10,Datos!D10)</f>
        <v>37</v>
      </c>
      <c r="H10" s="231">
        <f>IF(ISNUMBER(Datos!L10),Datos!L10," - ")</f>
        <v>122</v>
      </c>
      <c r="I10" s="1199" t="str">
        <f>IF(ISNUMBER(Datos!AS10/Datos!BM10),Datos!AS10/Datos!BM10," - ")</f>
        <v xml:space="preserve"> - </v>
      </c>
      <c r="J10" s="1200">
        <f>IF(ISNUMBER(Datos!BY10/Datos!CN10),Datos!BY10/Datos!CN10," - ")</f>
        <v>0</v>
      </c>
      <c r="K10" s="234">
        <f t="shared" ref="K10:K12" si="1">IF(ISNUMBER((E10-F10)/C10),(E10-F10)/C10," - ")</f>
        <v>-7.575757575757576E-2</v>
      </c>
      <c r="L10" s="1201">
        <f>IF(ISNUMBER(NºAsuntos!I10/NºAsuntos!G10),(NºAsuntos!I10/NºAsuntos!G10)*11," - ")</f>
        <v>19.735294117647058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132</v>
      </c>
      <c r="D13" s="1206">
        <f>SUBTOTAL(9,D9:D12)</f>
        <v>132</v>
      </c>
      <c r="E13" s="1207">
        <f>SUBTOTAL(9,E9:E12)</f>
        <v>58</v>
      </c>
      <c r="F13" s="1208">
        <f>SUBTOTAL(9,F9:F12)</f>
        <v>68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1169</v>
      </c>
      <c r="D15" s="229">
        <f>IF(ISNUMBER(IF(D_I="SI",Datos!I15,Datos!I15+Datos!AC15)),IF(D_I="SI",Datos!I15,Datos!I15+Datos!AC15)," - ")</f>
        <v>1126</v>
      </c>
      <c r="E15" s="230">
        <f>IF(ISNUMBER(IF(D_I="SI",Datos!J15,Datos!J15+Datos!AD15)),IF(D_I="SI",Datos!J15,Datos!J15+Datos!AD15)," - ")</f>
        <v>2195</v>
      </c>
      <c r="F15" s="230">
        <f>IF(ISNUMBER(IF(D_I="SI",Datos!K15,Datos!K15+Datos!AE15)),IF(D_I="SI",Datos!K15,Datos!K15+Datos!AE15)," - ")</f>
        <v>2187</v>
      </c>
      <c r="G15" s="1189" t="str">
        <f>IF(Datos!E15&lt;&gt;"",Datos!E15,Datos!D15)</f>
        <v>03</v>
      </c>
      <c r="H15" s="231">
        <f>IF(ISNUMBER(IF(D_I="SI",Datos!L15,Datos!L15+Datos!AF15)),IF(D_I="SI",Datos!L15,Datos!L15+Datos!AF15)," - ")</f>
        <v>1177</v>
      </c>
      <c r="I15" s="1199" t="str">
        <f>IF(ISNUMBER(Datos!AS15/Datos!BM15),Datos!AS15/Datos!BM15," - ")</f>
        <v xml:space="preserve"> - </v>
      </c>
      <c r="J15" s="1200">
        <f>IF(ISNUMBER(Datos!BY15/Datos!CN15),Datos!BY15/Datos!CN15," - ")</f>
        <v>0</v>
      </c>
      <c r="K15" s="234">
        <f t="shared" ref="K15:K17" si="3">IF(ISNUMBER((E15-F15)/C15),(E15-F15)/C15," - ")</f>
        <v>6.8434559452523521E-3</v>
      </c>
      <c r="L15" s="1201">
        <f>IF(ISNUMBER(NºAsuntos!I15/NºAsuntos!G15),(NºAsuntos!I15/NºAsuntos!G15)*11," - ")</f>
        <v>5.9199817101051675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8</v>
      </c>
      <c r="D16" s="229">
        <f>IF(ISNUMBER(IF(D_I="SI",Datos!I16,Datos!I16+Datos!AC16)),IF(D_I="SI",Datos!I16,Datos!I16+Datos!AC16)," - ")</f>
        <v>8</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8</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208</v>
      </c>
      <c r="D17" s="229">
        <f>IF(ISNUMBER(IF(D_I="SI",Datos!I17,Datos!I17+Datos!AC17)),IF(D_I="SI",Datos!I17,Datos!I17+Datos!AC17)," - ")</f>
        <v>195</v>
      </c>
      <c r="E17" s="230">
        <f>IF(ISNUMBER(IF(D_I="SI",Datos!J17,Datos!J17+Datos!AD17)),IF(D_I="SI",Datos!J17,Datos!J17+Datos!AD17)," - ")</f>
        <v>365</v>
      </c>
      <c r="F17" s="230">
        <f>IF(ISNUMBER(IF(D_I="SI",Datos!K17,Datos!K17+Datos!AE17)),IF(D_I="SI",Datos!K17,Datos!K17+Datos!AE17)," - ")</f>
        <v>362</v>
      </c>
      <c r="G17" s="1189" t="str">
        <f>IF(Datos!E17&lt;&gt;"",Datos!E17,Datos!D17)</f>
        <v>37</v>
      </c>
      <c r="H17" s="231">
        <f>IF(ISNUMBER(IF(D_I="SI",Datos!L17,Datos!L17+Datos!AF17)),IF(D_I="SI",Datos!L17,Datos!L17+Datos!AF17)," - ")</f>
        <v>211</v>
      </c>
      <c r="I17" s="1199" t="str">
        <f>IF(ISNUMBER(Datos!AS17/Datos!BM17),Datos!AS17/Datos!BM17," - ")</f>
        <v xml:space="preserve"> - </v>
      </c>
      <c r="J17" s="1200" t="str">
        <f>IF(ISNUMBER((Datos!BY17+Datos!BZ17)/Datos!CN17),(Datos!BY17+Datos!BZ17)/Datos!CN17," - ")</f>
        <v xml:space="preserve"> - </v>
      </c>
      <c r="K17" s="234">
        <f t="shared" si="3"/>
        <v>1.4423076923076924E-2</v>
      </c>
      <c r="L17" s="1201">
        <f>IF(ISNUMBER(NºAsuntos!I17/NºAsuntos!G17),(NºAsuntos!I17/NºAsuntos!G17)*11," - ")</f>
        <v>6.4116022099447516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1385</v>
      </c>
      <c r="D18" s="1206">
        <f>SUBTOTAL(9,D15:D17)</f>
        <v>1329</v>
      </c>
      <c r="E18" s="1207">
        <f>SUBTOTAL(9,E15:E17)</f>
        <v>2560</v>
      </c>
      <c r="F18" s="1207">
        <f>SUBTOTAL(9,F15:F17)</f>
        <v>2549</v>
      </c>
      <c r="G18" s="1209" t="str">
        <f ca="1">INDIRECT(CONCATENATE("G",ROW()-1))</f>
        <v>37</v>
      </c>
      <c r="H18" s="1210">
        <f ca="1">SUMIF(G$14:G17,G18,H$14:H17)</f>
        <v>211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1517</v>
      </c>
      <c r="D19" s="1228">
        <f>SUBTOTAL(9,D9:D18)</f>
        <v>1461</v>
      </c>
      <c r="E19" s="1229">
        <f>SUBTOTAL(9,E9:E18)</f>
        <v>2618</v>
      </c>
      <c r="F19" s="1229">
        <f>SUBTOTAL(9,F9:F18)</f>
        <v>2617</v>
      </c>
      <c r="G19" s="1230"/>
      <c r="H19" s="1231">
        <f ca="1">SUMIF(B9:B18,"TOTAL",H9:H18)</f>
        <v>211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uK4ANV1LJ0kGREXPzCQTFmAgy8/3HDlFdhZ59NVmLwXVE0ukc8LiqEDqhwe9shdYsIdLhjbE2mLdOwTgUaPR2w==" saltValue="IPOtbkdHy2T5cok9iS2C2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34XoUftE83CJ+X+0SjjKlqgwioOmzvnZidCJLadeN5byLtLJoqG86Da0Od2WrJkt7K8rg9geF+gWTd2QH7Hrg==" saltValue="7keJQDkO93/pCPyuM1RC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6969</v>
      </c>
      <c r="J9" s="185">
        <v>3598</v>
      </c>
      <c r="K9" s="185">
        <v>2795</v>
      </c>
      <c r="L9" s="185">
        <v>7769</v>
      </c>
      <c r="M9" s="185">
        <v>392</v>
      </c>
      <c r="N9" s="185">
        <v>1861</v>
      </c>
      <c r="O9" s="185">
        <v>1068</v>
      </c>
      <c r="P9" s="185">
        <v>538</v>
      </c>
      <c r="Q9" s="185">
        <v>330</v>
      </c>
      <c r="R9" s="185">
        <v>7419</v>
      </c>
      <c r="S9" s="185">
        <v>4456</v>
      </c>
      <c r="T9" s="185">
        <v>2571</v>
      </c>
      <c r="U9" s="185">
        <v>2489</v>
      </c>
      <c r="V9" s="185">
        <v>5652</v>
      </c>
      <c r="W9" s="185">
        <v>454</v>
      </c>
      <c r="X9" s="192">
        <v>1491</v>
      </c>
      <c r="Y9" s="195">
        <v>260</v>
      </c>
      <c r="Z9" s="185">
        <v>311</v>
      </c>
      <c r="AA9" s="185">
        <v>313</v>
      </c>
      <c r="AB9" s="185">
        <v>258</v>
      </c>
      <c r="AC9" s="185">
        <v>0</v>
      </c>
      <c r="AD9" s="185">
        <v>0</v>
      </c>
      <c r="AE9" s="185">
        <v>0</v>
      </c>
      <c r="AF9" s="192">
        <v>0</v>
      </c>
      <c r="AG9" s="195">
        <v>156</v>
      </c>
      <c r="AH9" s="185">
        <v>216</v>
      </c>
      <c r="AI9" s="185">
        <v>205</v>
      </c>
      <c r="AJ9" s="196">
        <v>274</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4612</v>
      </c>
      <c r="AZ9" s="124">
        <f>IF(ISNUMBER(IF(J_V="SI",T9,T9+AH9)),IF(J_V="SI",T9,T9+AH9)," - ")</f>
        <v>2787</v>
      </c>
      <c r="BA9" s="125">
        <f>IF(ISNUMBER(IF(J_V="SI",U9,U9+AI9)),IF(J_V="SI",U9,U9+AI9)," - ")</f>
        <v>2694</v>
      </c>
      <c r="BB9" s="125">
        <f>IF(ISNUMBER(IF(J_V="SI",V9,V9+AJ9)),IF(J_V="SI",V9,V9+AJ9)," - ")</f>
        <v>5926</v>
      </c>
      <c r="BC9" s="126">
        <f>IF(ISNUMBER(X9),X9," - ")</f>
        <v>1491</v>
      </c>
      <c r="BD9" s="127">
        <f>IF(ISNUMBER(BA9/AZ9),BA9/AZ9," - ")</f>
        <v>0.96663078579117334</v>
      </c>
      <c r="BE9" s="128">
        <f>IF(ISNUMBER(BB9/BA9),BB9/BA9, " - ")</f>
        <v>2.1997030438010392</v>
      </c>
      <c r="BF9" s="128">
        <f>IF(ISNUMBER(BC9/BA9),BC9/BA9, " - ")</f>
        <v>0.55345211581291764</v>
      </c>
      <c r="BG9" s="200">
        <f>IF(ISNUMBER((AY9+AZ9)/BA9),(AY9+AZ9)/BA9," - ")</f>
        <v>2.7464736451373422</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132</v>
      </c>
      <c r="J10" s="185">
        <v>58</v>
      </c>
      <c r="K10" s="185">
        <v>68</v>
      </c>
      <c r="L10" s="185">
        <v>122</v>
      </c>
      <c r="M10" s="185">
        <v>20</v>
      </c>
      <c r="N10" s="185">
        <v>40</v>
      </c>
      <c r="O10" s="185">
        <v>6</v>
      </c>
      <c r="P10" s="185">
        <v>4</v>
      </c>
      <c r="Q10" s="185">
        <v>7</v>
      </c>
      <c r="R10" s="185">
        <v>73</v>
      </c>
      <c r="S10" s="185">
        <v>127</v>
      </c>
      <c r="T10" s="185">
        <v>42</v>
      </c>
      <c r="U10" s="185">
        <v>39</v>
      </c>
      <c r="V10" s="185">
        <v>130</v>
      </c>
      <c r="W10" s="185">
        <v>7</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127</v>
      </c>
      <c r="AZ10" s="130">
        <f t="shared" si="0"/>
        <v>42</v>
      </c>
      <c r="BA10" s="130">
        <f t="shared" si="0"/>
        <v>39</v>
      </c>
      <c r="BB10" s="130">
        <f t="shared" si="0"/>
        <v>130</v>
      </c>
      <c r="BC10" s="126">
        <f t="shared" si="0"/>
        <v>7</v>
      </c>
      <c r="BD10" s="127">
        <f>IF(ISNUMBER(BA10/AZ10),BA10/AZ10," - ")</f>
        <v>0.9285714285714286</v>
      </c>
      <c r="BE10" s="128">
        <f>IF(ISNUMBER(BB10/BA10),BB10/BA10, " - ")</f>
        <v>3.3333333333333335</v>
      </c>
      <c r="BF10" s="128">
        <f>IF(ISNUMBER(BC10/BA10),BC10/BA10, " - ")</f>
        <v>0.17948717948717949</v>
      </c>
      <c r="BG10" s="200">
        <f>IF(ISNUMBER((AY10+AZ10)/BA10),(AY10+AZ10)/BA10," - ")</f>
        <v>4.333333333333333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7101</v>
      </c>
      <c r="J13" s="188">
        <f t="shared" si="6"/>
        <v>3656</v>
      </c>
      <c r="K13" s="188">
        <f t="shared" si="6"/>
        <v>2863</v>
      </c>
      <c r="L13" s="188">
        <f t="shared" si="6"/>
        <v>7891</v>
      </c>
      <c r="M13" s="188">
        <f t="shared" si="6"/>
        <v>412</v>
      </c>
      <c r="N13" s="188">
        <f t="shared" si="6"/>
        <v>1901</v>
      </c>
      <c r="O13" s="188">
        <f t="shared" si="6"/>
        <v>1074</v>
      </c>
      <c r="P13" s="188">
        <f t="shared" si="6"/>
        <v>542</v>
      </c>
      <c r="Q13" s="188">
        <f t="shared" si="6"/>
        <v>337</v>
      </c>
      <c r="R13" s="188">
        <f t="shared" si="6"/>
        <v>7492</v>
      </c>
      <c r="S13" s="188">
        <f t="shared" si="6"/>
        <v>4583</v>
      </c>
      <c r="T13" s="188">
        <f t="shared" si="6"/>
        <v>2613</v>
      </c>
      <c r="U13" s="188">
        <f t="shared" si="6"/>
        <v>2528</v>
      </c>
      <c r="V13" s="188">
        <f t="shared" si="6"/>
        <v>5782</v>
      </c>
      <c r="W13" s="188">
        <f t="shared" si="6"/>
        <v>461</v>
      </c>
      <c r="X13" s="188">
        <f t="shared" si="6"/>
        <v>1506</v>
      </c>
      <c r="Y13" s="188">
        <f t="shared" si="6"/>
        <v>260</v>
      </c>
      <c r="Z13" s="188">
        <f t="shared" si="6"/>
        <v>311</v>
      </c>
      <c r="AA13" s="188">
        <f t="shared" si="6"/>
        <v>313</v>
      </c>
      <c r="AB13" s="188">
        <f t="shared" si="6"/>
        <v>258</v>
      </c>
      <c r="AC13" s="188">
        <f t="shared" si="6"/>
        <v>0</v>
      </c>
      <c r="AD13" s="188">
        <f t="shared" si="6"/>
        <v>0</v>
      </c>
      <c r="AE13" s="188">
        <f t="shared" si="6"/>
        <v>0</v>
      </c>
      <c r="AF13" s="188">
        <f>SUBTOTAL(9,AF9:AF12)</f>
        <v>0</v>
      </c>
      <c r="AG13" s="188">
        <f t="shared" ref="AG13:AT13" si="7">SUBTOTAL(9,AG8:AG12)</f>
        <v>156</v>
      </c>
      <c r="AH13" s="188">
        <f t="shared" si="7"/>
        <v>216</v>
      </c>
      <c r="AI13" s="188">
        <f t="shared" si="7"/>
        <v>205</v>
      </c>
      <c r="AJ13" s="188">
        <f t="shared" si="7"/>
        <v>274</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4739</v>
      </c>
      <c r="AZ13" s="188">
        <f>SUBTOTAL(9,AZ8:AZ12)</f>
        <v>2829</v>
      </c>
      <c r="BA13" s="188">
        <f>SUBTOTAL(9,BA8:BA12)</f>
        <v>2733</v>
      </c>
      <c r="BB13" s="188">
        <f>SUBTOTAL(9,BB8:BB12)</f>
        <v>6056</v>
      </c>
      <c r="BC13" s="188">
        <f>SUBTOTAL(9,BC8:BC12)</f>
        <v>1498</v>
      </c>
      <c r="BD13" s="209">
        <f>IF(ISNUMBER(BA13/AZ13),BA13/AZ13," - ")</f>
        <v>0.96606574761399788</v>
      </c>
      <c r="BE13" s="210">
        <f>IF(ISNUMBER(BB13/BA13),BB13/BA13, " - ")</f>
        <v>2.2158799853640687</v>
      </c>
      <c r="BF13" s="210">
        <f>IF(ISNUMBER(BC13/BA13),BC13/BA13, " - ")</f>
        <v>0.54811562385656787</v>
      </c>
      <c r="BG13" s="211">
        <f>IF(ISNUMBER((AY13+AZ13)/BA13),(AY13+AZ13)/BA13," - ")</f>
        <v>2.7691181851445297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1126</v>
      </c>
      <c r="J15" s="187">
        <v>2195</v>
      </c>
      <c r="K15" s="187">
        <v>2187</v>
      </c>
      <c r="L15" s="187">
        <v>1177</v>
      </c>
      <c r="M15" s="187">
        <v>309</v>
      </c>
      <c r="N15" s="187">
        <v>1255</v>
      </c>
      <c r="O15" s="185">
        <v>61</v>
      </c>
      <c r="P15" s="187">
        <v>87</v>
      </c>
      <c r="Q15" s="187">
        <v>110</v>
      </c>
      <c r="R15" s="187">
        <v>405</v>
      </c>
      <c r="S15" s="187">
        <v>878</v>
      </c>
      <c r="T15" s="187">
        <v>2004</v>
      </c>
      <c r="U15" s="187">
        <v>1961</v>
      </c>
      <c r="V15" s="187">
        <v>969</v>
      </c>
      <c r="W15" s="187">
        <v>240</v>
      </c>
      <c r="X15" s="193">
        <v>1163</v>
      </c>
      <c r="Y15" s="206">
        <v>0</v>
      </c>
      <c r="Z15" s="187">
        <v>0</v>
      </c>
      <c r="AA15" s="187">
        <v>0</v>
      </c>
      <c r="AB15" s="187">
        <v>0</v>
      </c>
      <c r="AC15" s="187">
        <v>0</v>
      </c>
      <c r="AD15" s="187">
        <v>49</v>
      </c>
      <c r="AE15" s="187">
        <v>49</v>
      </c>
      <c r="AF15" s="193">
        <v>0</v>
      </c>
      <c r="AG15" s="206">
        <v>0</v>
      </c>
      <c r="AH15" s="187">
        <v>0</v>
      </c>
      <c r="AI15" s="187">
        <v>0</v>
      </c>
      <c r="AJ15" s="207">
        <v>0</v>
      </c>
      <c r="AK15" s="186">
        <v>0</v>
      </c>
      <c r="AL15" s="187">
        <v>23</v>
      </c>
      <c r="AM15" s="187">
        <v>23</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878</v>
      </c>
      <c r="AZ15" s="130">
        <f t="shared" si="9"/>
        <v>2004</v>
      </c>
      <c r="BA15" s="130">
        <f t="shared" si="9"/>
        <v>1961</v>
      </c>
      <c r="BB15" s="130">
        <f t="shared" si="9"/>
        <v>969</v>
      </c>
      <c r="BC15" s="126">
        <f>IF(ISNUMBER(W15),W15," - ")</f>
        <v>240</v>
      </c>
      <c r="BD15" s="127">
        <f>IF(ISNUMBER(BA15/AZ15),BA15/AZ15," - ")</f>
        <v>0.97854291417165673</v>
      </c>
      <c r="BE15" s="128">
        <f>IF(ISNUMBER(BB15/BA15),BB15/BA15, " - ")</f>
        <v>0.49413564507904129</v>
      </c>
      <c r="BF15" s="128">
        <f>IF(ISNUMBER(BC15/BA15),BC15/BA15, " - ")</f>
        <v>0.12238653748087711</v>
      </c>
      <c r="BG15" s="200">
        <f t="shared" ref="BG15:BG16" si="10">IF(ISNUMBER((AY15+AZ15)/BA15),(AY15+AZ15)/BA15," - ")</f>
        <v>1.4696583375828658</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v>
      </c>
      <c r="J16" s="187">
        <v>0</v>
      </c>
      <c r="K16" s="187">
        <v>0</v>
      </c>
      <c r="L16" s="187">
        <v>8</v>
      </c>
      <c r="M16" s="187">
        <v>0</v>
      </c>
      <c r="N16" s="187">
        <v>0</v>
      </c>
      <c r="O16" s="185">
        <v>0</v>
      </c>
      <c r="P16" s="187">
        <v>0</v>
      </c>
      <c r="Q16" s="187">
        <v>0</v>
      </c>
      <c r="R16" s="187">
        <v>0</v>
      </c>
      <c r="S16" s="187">
        <v>9</v>
      </c>
      <c r="T16" s="187">
        <v>0</v>
      </c>
      <c r="U16" s="187">
        <v>0</v>
      </c>
      <c r="V16" s="187">
        <v>9</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9</v>
      </c>
      <c r="AZ16" s="128">
        <f t="shared" si="9"/>
        <v>0</v>
      </c>
      <c r="BA16" s="128">
        <f t="shared" si="9"/>
        <v>0</v>
      </c>
      <c r="BB16" s="128">
        <f t="shared" si="9"/>
        <v>9</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195</v>
      </c>
      <c r="J17" s="187">
        <v>365</v>
      </c>
      <c r="K17" s="187">
        <v>362</v>
      </c>
      <c r="L17" s="187">
        <v>211</v>
      </c>
      <c r="M17" s="187">
        <v>14</v>
      </c>
      <c r="N17" s="187">
        <v>242</v>
      </c>
      <c r="O17" s="187">
        <v>0</v>
      </c>
      <c r="P17" s="187">
        <v>4</v>
      </c>
      <c r="Q17" s="187">
        <v>6</v>
      </c>
      <c r="R17" s="187">
        <v>3</v>
      </c>
      <c r="S17" s="187">
        <v>242</v>
      </c>
      <c r="T17" s="187">
        <v>350</v>
      </c>
      <c r="U17" s="187">
        <v>361</v>
      </c>
      <c r="V17" s="187">
        <v>240</v>
      </c>
      <c r="W17" s="187">
        <v>17</v>
      </c>
      <c r="X17" s="193">
        <v>192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242</v>
      </c>
      <c r="AZ17" s="130">
        <f t="shared" si="14"/>
        <v>350</v>
      </c>
      <c r="BA17" s="130">
        <f t="shared" si="14"/>
        <v>361</v>
      </c>
      <c r="BB17" s="130">
        <f t="shared" si="14"/>
        <v>240</v>
      </c>
      <c r="BC17" s="126">
        <f>IF(ISNUMBER(W17),W17," - ")</f>
        <v>17</v>
      </c>
      <c r="BD17" s="127">
        <f>IF(ISNUMBER(BA17/AZ17),BA17/AZ17," - ")</f>
        <v>1.0314285714285714</v>
      </c>
      <c r="BE17" s="128">
        <f>IF(ISNUMBER(BB17/BA17),BB17/BA17, " - ")</f>
        <v>0.66481994459833793</v>
      </c>
      <c r="BF17" s="128">
        <f>IF(ISNUMBER(BC17/BA17),BC17/BA17, " - ")</f>
        <v>4.7091412742382273E-2</v>
      </c>
      <c r="BG17" s="200">
        <f>IF(ISNUMBER((AY17+AZ17)/BA17),(AY17+AZ17)/BA17," - ")</f>
        <v>1.6398891966759004</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1329</v>
      </c>
      <c r="J18" s="188">
        <f t="shared" si="15"/>
        <v>2560</v>
      </c>
      <c r="K18" s="188">
        <f t="shared" si="15"/>
        <v>2549</v>
      </c>
      <c r="L18" s="188">
        <f t="shared" si="15"/>
        <v>1396</v>
      </c>
      <c r="M18" s="188">
        <f t="shared" si="15"/>
        <v>323</v>
      </c>
      <c r="N18" s="188">
        <f t="shared" si="15"/>
        <v>1497</v>
      </c>
      <c r="O18" s="188">
        <f t="shared" si="15"/>
        <v>61</v>
      </c>
      <c r="P18" s="188">
        <f t="shared" si="15"/>
        <v>91</v>
      </c>
      <c r="Q18" s="188">
        <f t="shared" si="15"/>
        <v>116</v>
      </c>
      <c r="R18" s="188">
        <f t="shared" si="15"/>
        <v>408</v>
      </c>
      <c r="S18" s="188">
        <f t="shared" si="15"/>
        <v>1129</v>
      </c>
      <c r="T18" s="188">
        <f t="shared" si="15"/>
        <v>2354</v>
      </c>
      <c r="U18" s="188">
        <f t="shared" si="15"/>
        <v>2322</v>
      </c>
      <c r="V18" s="188">
        <f t="shared" si="15"/>
        <v>1218</v>
      </c>
      <c r="W18" s="188">
        <f t="shared" si="15"/>
        <v>257</v>
      </c>
      <c r="X18" s="188">
        <f t="shared" si="15"/>
        <v>1355</v>
      </c>
      <c r="Y18" s="188">
        <f t="shared" si="15"/>
        <v>0</v>
      </c>
      <c r="Z18" s="188">
        <f t="shared" si="15"/>
        <v>0</v>
      </c>
      <c r="AA18" s="188">
        <f t="shared" si="15"/>
        <v>0</v>
      </c>
      <c r="AB18" s="188">
        <f t="shared" si="15"/>
        <v>0</v>
      </c>
      <c r="AC18" s="188">
        <f t="shared" si="15"/>
        <v>0</v>
      </c>
      <c r="AD18" s="188">
        <f t="shared" si="15"/>
        <v>49</v>
      </c>
      <c r="AE18" s="188">
        <f t="shared" si="15"/>
        <v>49</v>
      </c>
      <c r="AF18" s="188">
        <f t="shared" si="15"/>
        <v>0</v>
      </c>
      <c r="AG18" s="188">
        <f t="shared" si="15"/>
        <v>0</v>
      </c>
      <c r="AH18" s="188">
        <f t="shared" si="15"/>
        <v>0</v>
      </c>
      <c r="AI18" s="188">
        <f t="shared" si="15"/>
        <v>0</v>
      </c>
      <c r="AJ18" s="188">
        <f t="shared" si="15"/>
        <v>0</v>
      </c>
      <c r="AK18" s="188">
        <f t="shared" si="15"/>
        <v>0</v>
      </c>
      <c r="AL18" s="188">
        <f t="shared" si="15"/>
        <v>23</v>
      </c>
      <c r="AM18" s="188">
        <f t="shared" si="15"/>
        <v>23</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1129</v>
      </c>
      <c r="AZ18" s="188">
        <f>SUBTOTAL(9,AZ14:AZ17)</f>
        <v>2354</v>
      </c>
      <c r="BA18" s="188">
        <f>SUBTOTAL(9,BA14:BA17)</f>
        <v>2322</v>
      </c>
      <c r="BB18" s="188">
        <f>SUBTOTAL(9,BB14:BB17)</f>
        <v>1218</v>
      </c>
      <c r="BC18" s="188">
        <f>SUBTOTAL(9,BC14:BC17)</f>
        <v>257</v>
      </c>
      <c r="BD18" s="209">
        <f>IF(ISNUMBER(BA18/AZ18),BA18/AZ18," - ")</f>
        <v>0.9864061172472387</v>
      </c>
      <c r="BE18" s="210">
        <f>IF(ISNUMBER(BB18/BA18),BB18/BA18, " - ")</f>
        <v>0.52454780361757103</v>
      </c>
      <c r="BF18" s="210">
        <f>IF(ISNUMBER(BC18/BA18),BC18/BA18, " - ")</f>
        <v>0.11068044788975022</v>
      </c>
      <c r="BG18" s="211">
        <f>IF(ISNUMBER((AY18+AZ18)/BA18),(AY18+AZ18)/BA18," - ")</f>
        <v>1.5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8430</v>
      </c>
      <c r="J19" s="135">
        <f t="shared" si="18"/>
        <v>6216</v>
      </c>
      <c r="K19" s="135">
        <f t="shared" si="18"/>
        <v>5412</v>
      </c>
      <c r="L19" s="135">
        <f t="shared" si="18"/>
        <v>9287</v>
      </c>
      <c r="M19" s="135">
        <f t="shared" si="18"/>
        <v>735</v>
      </c>
      <c r="N19" s="135">
        <f t="shared" si="18"/>
        <v>3398</v>
      </c>
      <c r="O19" s="135">
        <f t="shared" si="18"/>
        <v>1135</v>
      </c>
      <c r="P19" s="135">
        <f t="shared" si="18"/>
        <v>633</v>
      </c>
      <c r="Q19" s="135">
        <f t="shared" si="18"/>
        <v>453</v>
      </c>
      <c r="R19" s="135">
        <f t="shared" si="18"/>
        <v>7900</v>
      </c>
      <c r="S19" s="135">
        <f t="shared" si="18"/>
        <v>5712</v>
      </c>
      <c r="T19" s="135">
        <f t="shared" si="18"/>
        <v>4967</v>
      </c>
      <c r="U19" s="135">
        <f t="shared" si="18"/>
        <v>4850</v>
      </c>
      <c r="V19" s="135">
        <f t="shared" si="18"/>
        <v>7000</v>
      </c>
      <c r="W19" s="135">
        <f t="shared" si="18"/>
        <v>718</v>
      </c>
      <c r="X19" s="135">
        <f t="shared" si="18"/>
        <v>2861</v>
      </c>
      <c r="Y19" s="135">
        <f t="shared" si="18"/>
        <v>260</v>
      </c>
      <c r="Z19" s="135">
        <f t="shared" si="18"/>
        <v>311</v>
      </c>
      <c r="AA19" s="135">
        <f t="shared" si="18"/>
        <v>313</v>
      </c>
      <c r="AB19" s="135">
        <f t="shared" si="18"/>
        <v>258</v>
      </c>
      <c r="AC19" s="135">
        <f t="shared" si="18"/>
        <v>0</v>
      </c>
      <c r="AD19" s="135">
        <f t="shared" si="18"/>
        <v>49</v>
      </c>
      <c r="AE19" s="135">
        <f t="shared" si="18"/>
        <v>49</v>
      </c>
      <c r="AF19" s="135">
        <f t="shared" si="18"/>
        <v>0</v>
      </c>
      <c r="AG19" s="135">
        <f t="shared" si="18"/>
        <v>156</v>
      </c>
      <c r="AH19" s="135">
        <f t="shared" si="18"/>
        <v>216</v>
      </c>
      <c r="AI19" s="135">
        <f t="shared" si="18"/>
        <v>205</v>
      </c>
      <c r="AJ19" s="135">
        <f t="shared" si="18"/>
        <v>274</v>
      </c>
      <c r="AK19" s="135">
        <f t="shared" si="18"/>
        <v>0</v>
      </c>
      <c r="AL19" s="135">
        <f t="shared" si="18"/>
        <v>23</v>
      </c>
      <c r="AM19" s="135">
        <f t="shared" si="18"/>
        <v>23</v>
      </c>
      <c r="AN19" s="214">
        <f t="shared" si="18"/>
        <v>0</v>
      </c>
      <c r="AO19" s="215">
        <v>11</v>
      </c>
      <c r="AP19" s="215">
        <v>11</v>
      </c>
      <c r="AQ19" s="215">
        <v>11</v>
      </c>
      <c r="AR19" s="215">
        <v>11</v>
      </c>
      <c r="AS19" s="157">
        <f t="shared" si="18"/>
        <v>0</v>
      </c>
      <c r="AT19" s="157">
        <f t="shared" si="18"/>
        <v>0</v>
      </c>
      <c r="AU19" s="215"/>
      <c r="AV19" s="216"/>
      <c r="AW19" s="215"/>
      <c r="AX19" s="216"/>
      <c r="AY19" s="134">
        <f>SUBTOTAL(9,AY9:AY18)</f>
        <v>5868</v>
      </c>
      <c r="AZ19" s="135">
        <f>SUBTOTAL(9,AZ9:AZ18)</f>
        <v>5183</v>
      </c>
      <c r="BA19" s="135">
        <f>SUBTOTAL(9,BA9:BA18)</f>
        <v>5055</v>
      </c>
      <c r="BB19" s="135">
        <f>SUBTOTAL(9,BB9:BB18)</f>
        <v>7274</v>
      </c>
      <c r="BC19" s="136">
        <f>SUBTOTAL(9,BC9:BC18)</f>
        <v>1755</v>
      </c>
      <c r="BD19" s="217">
        <f>IF(ISNUMBER(BA19/AZ19),BA19/AZ19," - ")</f>
        <v>0.97530387806289798</v>
      </c>
      <c r="BE19" s="214">
        <f>IF(ISNUMBER(BB19/BA19),BB19/BA19, " - ")</f>
        <v>1.438971315529179</v>
      </c>
      <c r="BF19" s="214">
        <f>IF(ISNUMBER(BC19/BA19),BC19/BA19, " - ")</f>
        <v>0.34718100890207715</v>
      </c>
      <c r="BG19" s="136">
        <f>IF(ISNUMBER((AY19+AZ19)/BA19),(AY19+AZ19)/BA19," - ")</f>
        <v>2.1861523244312564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L2gcMlTJFpdIQep+C02D4EU0nh4KxuF3I7OxKnRCZaPI/taRF1rYJs81NpqAKKHgUF0U5hj+63SkLWCIWPq8w==" saltValue="Oca3/sNsC9Ypmh1c2M5o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fKhBueaaTD7swR+KHK6YeMSiREc3Z0ZQ/E6LTp/+4kmKNhrU/wye7vXm4DV8gUra9+oU5uBOyb7SAaIQJLVfg==" saltValue="a0C161zxeQjvKrvFf0h4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TORREJON DE ARDOZ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311</v>
      </c>
      <c r="O9" s="503"/>
      <c r="P9" s="503"/>
      <c r="Q9" s="501">
        <f>IF(ISNUMBER(Datos!P9),Datos!P9,0)</f>
        <v>538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330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258</v>
      </c>
      <c r="AI9" s="503" t="str">
        <f>IF(ISNUMBER(Datos!CD9),Datos!CD9,"-")</f>
        <v>-</v>
      </c>
      <c r="AJ9" s="503" t="str">
        <f>IF(ISNUMBER(Datos!EN9),Datos!EN9," - ")</f>
        <v xml:space="preserve"> - </v>
      </c>
      <c r="AK9" s="503"/>
      <c r="AL9" s="504"/>
      <c r="AM9" s="671">
        <f>IF(ISNUMBER(Datos!R9),Datos!R9," - ")</f>
        <v>7419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392</v>
      </c>
      <c r="BD9" s="619">
        <f>IF(ISNUMBER(Datos!N9),Datos!N9," - ")</f>
        <v>1861</v>
      </c>
      <c r="BE9" s="619" t="str">
        <f>IF(ISNUMBER(Datos!BW9),Datos!BW9," - ")</f>
        <v xml:space="preserve"> - </v>
      </c>
      <c r="BF9" s="667" t="str">
        <f>IF(ISNUMBER(Datos!BX9),Datos!BX9," - ")</f>
        <v xml:space="preserve"> - </v>
      </c>
      <c r="BG9" s="668">
        <f>IF(ISNUMBER(IF(J_V="SI",Datos!K9/Datos!J9,(Datos!K9+Datos!AA9)/(Datos!J9+Datos!Z9))),IF(J_V="SI",Datos!K9/Datos!J9,(Datos!K9+Datos!AA9)/(Datos!J9+Datos!Z9))," - ")</f>
        <v>0.79508825786646198</v>
      </c>
      <c r="BH9" s="669">
        <f>IF(ISNUMBER(((IF(J_V="SI",Datos!L9/Datos!K9,(Datos!L9+Datos!AB9)/(Datos!K9+Datos!AA9)))*11)/factor_trimestre),((IF(J_V="SI",Datos!L9/Datos!K9,(Datos!L9+Datos!AB9)/(Datos!K9+Datos!AA9)))*11)/factor_trimestre," - ")</f>
        <v>7.7480694980694986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2.8844820413257522E-2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132</v>
      </c>
      <c r="G10" s="497">
        <f>IF(ISNUMBER(Datos!I10),Datos!I10," - ")</f>
        <v>132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68</v>
      </c>
      <c r="AC10" s="501">
        <f>IF(ISNUMBER(Datos!Q10),Datos!Q10," - ")</f>
        <v>7</v>
      </c>
      <c r="AD10" s="503"/>
      <c r="AE10" s="516"/>
      <c r="AF10" s="505">
        <f>IF(ISNUMBER(Datos!L10),Datos!L10,"-")</f>
        <v>122</v>
      </c>
      <c r="AG10" s="503"/>
      <c r="AH10" s="503"/>
      <c r="AI10" s="503"/>
      <c r="AJ10" s="503"/>
      <c r="AK10" s="503"/>
      <c r="AL10" s="504"/>
      <c r="AM10" s="671">
        <f>IF(ISNUMBER(Datos!R10),Datos!R10," - ")</f>
        <v>73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20</v>
      </c>
      <c r="BD10" s="619">
        <f>IF(ISNUMBER(Datos!N10),Datos!N10," - ")</f>
        <v>40</v>
      </c>
      <c r="BE10" s="619" t="str">
        <f>IF(ISNUMBER(Datos!BW10),Datos!BW10," - ")</f>
        <v xml:space="preserve"> - </v>
      </c>
      <c r="BF10" s="667" t="str">
        <f>IF(ISNUMBER(Datos!BX10),Datos!BX10," - ")</f>
        <v xml:space="preserve"> - </v>
      </c>
      <c r="BG10" s="668">
        <f>IF(ISNUMBER(Datos!K10/Datos!J10),Datos!K10/Datos!J10," - ")</f>
        <v>1.1724137931034482</v>
      </c>
      <c r="BH10" s="669">
        <f>IF(ISNUMBER(((Datos!L10/Datos!K10)*11)/factor_trimestre),((Datos!L10/Datos!K10)*11)/factor_trimestre," - ")</f>
        <v>5.382352941176471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-3.9473684210526314E-2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132</v>
      </c>
      <c r="G13" s="1044">
        <f t="shared" si="0"/>
        <v>132</v>
      </c>
      <c r="H13" s="1045">
        <f t="shared" si="0"/>
        <v>0</v>
      </c>
      <c r="I13" s="1044">
        <f t="shared" si="0"/>
        <v>0</v>
      </c>
      <c r="J13" s="1013">
        <f t="shared" si="0"/>
        <v>0</v>
      </c>
      <c r="K13" s="1013">
        <f t="shared" si="0"/>
        <v>0</v>
      </c>
      <c r="L13" s="1045">
        <f t="shared" si="0"/>
        <v>0</v>
      </c>
      <c r="M13" s="1045">
        <f t="shared" si="0"/>
        <v>0</v>
      </c>
      <c r="N13" s="1045">
        <f t="shared" si="0"/>
        <v>311</v>
      </c>
      <c r="O13" s="1046">
        <f t="shared" si="0"/>
        <v>0</v>
      </c>
      <c r="P13" s="1046">
        <f t="shared" si="0"/>
        <v>0</v>
      </c>
      <c r="Q13" s="1045">
        <f t="shared" si="0"/>
        <v>542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68</v>
      </c>
      <c r="AC13" s="1045">
        <f t="shared" si="1"/>
        <v>337</v>
      </c>
      <c r="AD13" s="1045">
        <f t="shared" si="1"/>
        <v>0</v>
      </c>
      <c r="AE13" s="1045">
        <f t="shared" si="1"/>
        <v>0</v>
      </c>
      <c r="AF13" s="1045">
        <f t="shared" si="1"/>
        <v>122</v>
      </c>
      <c r="AG13" s="1045">
        <f t="shared" si="1"/>
        <v>0</v>
      </c>
      <c r="AH13" s="1045">
        <f t="shared" si="1"/>
        <v>258</v>
      </c>
      <c r="AI13" s="1045">
        <f t="shared" si="1"/>
        <v>0</v>
      </c>
      <c r="AJ13" s="1045">
        <f t="shared" si="1"/>
        <v>0</v>
      </c>
      <c r="AK13" s="1045">
        <f t="shared" si="1"/>
        <v>0</v>
      </c>
      <c r="AL13" s="1045">
        <f t="shared" si="1"/>
        <v>0</v>
      </c>
      <c r="AM13" s="1045">
        <f t="shared" si="1"/>
        <v>7492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412</v>
      </c>
      <c r="BD13" s="1045">
        <f t="shared" si="1"/>
        <v>1901</v>
      </c>
      <c r="BE13" s="1045">
        <f t="shared" si="1"/>
        <v>0</v>
      </c>
      <c r="BF13" s="1045">
        <f t="shared" si="1"/>
        <v>0</v>
      </c>
      <c r="BG13" s="1045">
        <f>IF(ISNUMBER(Datos!K13/Datos!J13),Datos!K13/Datos!J13," - ")</f>
        <v>0.78309628008752741</v>
      </c>
      <c r="BH13" s="1049">
        <f>IF(ISNUMBER(((Datos!L13/Datos!K13)*11)/factor_trimestre),((Datos!L13/Datos!K13)*11)/factor_trimestre," - ")</f>
        <v>8.2685993712888575</v>
      </c>
      <c r="BI13" s="1045">
        <f>IF(ISNUMBER('Resol  Asuntos'!D13/NºAsuntos!G13),'Resol  Asuntos'!D13/NºAsuntos!G13," - ")</f>
        <v>0.12972292191435769</v>
      </c>
      <c r="BJ13" s="1045" t="str">
        <f>IF(ISNUMBER(Datos!CI13/Datos!CJ13),Datos!CI13/Datos!CJ13," - ")</f>
        <v xml:space="preserve"> - </v>
      </c>
      <c r="BK13" s="1045">
        <f>SUBTOTAL(9,BK8:BK12)</f>
        <v>0</v>
      </c>
      <c r="BL13" s="1045">
        <f>IF(ISNUMBER((I13-AB13+L13)/(F13)),(I13-AB13+L13)/(F13)," - ")</f>
        <v>-0.51515151515151514</v>
      </c>
      <c r="BM13" s="1050">
        <f>SUBTOTAL(9,BM9:BM12)</f>
        <v>-1.0628863797268791E-2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1169</v>
      </c>
      <c r="G15" s="650">
        <f>IF(ISNUMBER(IF(D_I="SI",Datos!I15,Datos!I15+Datos!AC15)),IF(D_I="SI",Datos!I15,Datos!I15+Datos!AC15)," - ")</f>
        <v>1126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2187</v>
      </c>
      <c r="AC15" s="230">
        <f>IF(ISNUMBER(Datos!Q15),Datos!Q15," - ")</f>
        <v>110</v>
      </c>
      <c r="AD15" s="343"/>
      <c r="AE15" s="515"/>
      <c r="AF15" s="648">
        <f>IF(ISNUMBER(IF(D_I="SI",Datos!L15,Datos!L15+Datos!AF15)),IF(D_I="SI",Datos!L15,Datos!L15+Datos!AF15)," - ")</f>
        <v>1177</v>
      </c>
      <c r="AG15" s="343"/>
      <c r="AH15" s="343"/>
      <c r="AI15" s="343"/>
      <c r="AJ15" s="503"/>
      <c r="AK15" s="343"/>
      <c r="AL15" s="499"/>
      <c r="AM15" s="344">
        <f>IF(ISNUMBER(Datos!R15),Datos!R15," - ")</f>
        <v>405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309</v>
      </c>
      <c r="BD15" s="233">
        <f>IF(ISNUMBER(Datos!N15),Datos!N15," - ")</f>
        <v>1255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0.99635535307517087</v>
      </c>
      <c r="BH15" s="669">
        <f>IF(ISNUMBER(((IF(D_I="SI",Datos!L15/Datos!K15,(Datos!L15+Datos!AF15)/(Datos!K15+Datos!AE15)))*11)/factor_trimestre),((IF(D_I="SI",Datos!L15/Datos!K15,(Datos!L15+Datos!AF15)/(Datos!K15+Datos!AE15)))*11)/factor_trimestre," - ")</f>
        <v>1.6145404663923184</v>
      </c>
      <c r="BI15" s="247">
        <f>IF(ISNUMBER('Resol  Asuntos'!D15/NºAsuntos!G15),'Resol  Asuntos'!D15/NºAsuntos!G15," - ")</f>
        <v>0.1412894375857339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8</v>
      </c>
      <c r="G16" s="650">
        <f>IF(ISNUMBER(IF(D_I="SI",Datos!I16,Datos!I16+Datos!AC16)),IF(D_I="SI",Datos!I16,Datos!I16+Datos!AC16)," - ")</f>
        <v>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8</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195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362</v>
      </c>
      <c r="AC17" s="501">
        <f>IF(ISNUMBER(Datos!Q17),Datos!Q17," - ")</f>
        <v>6</v>
      </c>
      <c r="AD17" s="503"/>
      <c r="AE17" s="515"/>
      <c r="AF17" s="505">
        <f>IF(ISNUMBER(Datos!L17),Datos!L17,"-")</f>
        <v>211</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242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0.99178082191780825</v>
      </c>
      <c r="BH17" s="669">
        <f>IF(ISNUMBER(((IF(D_I="SI",Datos!L17/Datos!K17,(Datos!L17+Datos!AF17)/(Datos!K17+Datos!AE17)))*11)/factor_trimestre),((IF(D_I="SI",Datos!L17/Datos!K17,(Datos!L17+Datos!AF17)/(Datos!K17+Datos!AE17)))*11)/factor_trimestre," - ")</f>
        <v>1.7486187845303869</v>
      </c>
      <c r="BI17" s="668">
        <f>IF(ISNUMBER('Resol  Asuntos'!D17/NºAsuntos!G17),'Resol  Asuntos'!D17/NºAsuntos!G17," - ")</f>
        <v>3.8674033149171269E-2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1177</v>
      </c>
      <c r="G18" s="1044">
        <f>SUBTOTAL(9,G15:G17)</f>
        <v>1329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2549</v>
      </c>
      <c r="AC18" s="1045">
        <f t="shared" si="4"/>
        <v>116</v>
      </c>
      <c r="AD18" s="1045">
        <f t="shared" si="4"/>
        <v>0</v>
      </c>
      <c r="AE18" s="1045">
        <f t="shared" si="4"/>
        <v>0</v>
      </c>
      <c r="AF18" s="1045">
        <f t="shared" si="4"/>
        <v>1396</v>
      </c>
      <c r="AG18" s="1045">
        <f t="shared" si="4"/>
        <v>0</v>
      </c>
      <c r="AH18" s="1045">
        <f t="shared" si="4"/>
        <v>0</v>
      </c>
      <c r="AI18" s="1045">
        <f t="shared" si="4"/>
        <v>0</v>
      </c>
      <c r="AJ18" s="1045">
        <f t="shared" si="4"/>
        <v>0</v>
      </c>
      <c r="AK18" s="1045">
        <f t="shared" si="4"/>
        <v>0</v>
      </c>
      <c r="AL18" s="1045">
        <f t="shared" si="4"/>
        <v>0</v>
      </c>
      <c r="AM18" s="1045">
        <f t="shared" si="4"/>
        <v>408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323</v>
      </c>
      <c r="BD18" s="1045">
        <f t="shared" si="4"/>
        <v>1497</v>
      </c>
      <c r="BE18" s="1045">
        <f t="shared" si="4"/>
        <v>0</v>
      </c>
      <c r="BF18" s="1045">
        <f t="shared" si="4"/>
        <v>0</v>
      </c>
      <c r="BG18" s="1045">
        <f>IF(ISNUMBER(Datos!K18/Datos!J18),Datos!K18/Datos!J18," - ")</f>
        <v>0.99570312500000002</v>
      </c>
      <c r="BH18" s="1049">
        <f>IF(ISNUMBER(((Datos!L18/Datos!K18)*11)/factor_trimestre),((Datos!L18/Datos!K18)*11)/factor_trimestre," - ")</f>
        <v>1.6429972538250297</v>
      </c>
      <c r="BI18" s="1045">
        <f>SUBTOTAL(9,BI15:BI17)</f>
        <v>0.17996347073490515</v>
      </c>
      <c r="BJ18" s="1045">
        <f>SUBTOTAL(9,BJ15:BJ17)</f>
        <v>0</v>
      </c>
      <c r="BK18" s="1045">
        <f>SUBTOTAL(9,BK15:BK17)</f>
        <v>0</v>
      </c>
      <c r="BL18" s="1045">
        <f>IF(ISNUMBER((I18-AB18+L18)/(F18)),(I18-AB18+L18)/(F18)," - ")</f>
        <v>-2.1656754460492778</v>
      </c>
      <c r="BM18" s="1051">
        <f>IF(ISNUMBER((Datos!P18-Datos!Q18)/(Datos!R18-Datos!P18+Datos!Q18)),(Datos!P18-Datos!Q18)/(Datos!R18-Datos!P18+Datos!Q18)," - ")</f>
        <v>-5.7736720554272515E-2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1309</v>
      </c>
      <c r="G19" s="966">
        <f t="shared" si="6"/>
        <v>1461</v>
      </c>
      <c r="H19" s="968">
        <f t="shared" si="6"/>
        <v>0</v>
      </c>
      <c r="I19" s="966">
        <f t="shared" si="6"/>
        <v>0</v>
      </c>
      <c r="J19" s="968">
        <f t="shared" si="6"/>
        <v>0</v>
      </c>
      <c r="K19" s="968">
        <f t="shared" si="6"/>
        <v>0</v>
      </c>
      <c r="L19" s="1027">
        <f t="shared" si="6"/>
        <v>0</v>
      </c>
      <c r="M19" s="1027">
        <f t="shared" si="6"/>
        <v>0</v>
      </c>
      <c r="N19" s="1027">
        <f t="shared" si="6"/>
        <v>311</v>
      </c>
      <c r="O19" s="1027">
        <f t="shared" si="6"/>
        <v>0</v>
      </c>
      <c r="P19" s="1027">
        <f t="shared" si="6"/>
        <v>0</v>
      </c>
      <c r="Q19" s="968">
        <f t="shared" si="6"/>
        <v>633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2617</v>
      </c>
      <c r="AC19" s="967">
        <f t="shared" si="7"/>
        <v>453</v>
      </c>
      <c r="AD19" s="967">
        <f t="shared" si="7"/>
        <v>0</v>
      </c>
      <c r="AE19" s="967">
        <f t="shared" si="7"/>
        <v>0</v>
      </c>
      <c r="AF19" s="974">
        <f t="shared" si="7"/>
        <v>1518</v>
      </c>
      <c r="AG19" s="974">
        <f t="shared" si="7"/>
        <v>0</v>
      </c>
      <c r="AH19" s="974">
        <f t="shared" si="7"/>
        <v>258</v>
      </c>
      <c r="AI19" s="974">
        <f t="shared" si="7"/>
        <v>0</v>
      </c>
      <c r="AJ19" s="967">
        <f t="shared" si="7"/>
        <v>0</v>
      </c>
      <c r="AK19" s="974">
        <f t="shared" si="7"/>
        <v>0</v>
      </c>
      <c r="AL19" s="974">
        <f t="shared" si="7"/>
        <v>0</v>
      </c>
      <c r="AM19" s="974">
        <f t="shared" si="7"/>
        <v>7900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735</v>
      </c>
      <c r="BD19" s="966">
        <f t="shared" si="7"/>
        <v>3398</v>
      </c>
      <c r="BE19" s="966">
        <f t="shared" si="7"/>
        <v>0</v>
      </c>
      <c r="BF19" s="976">
        <f t="shared" si="7"/>
        <v>0</v>
      </c>
      <c r="BG19" s="1061">
        <f>IF(ISNUMBER(Datos!K19/Datos!J19),Datos!K19/Datos!J19," - ")</f>
        <v>0.87065637065637069</v>
      </c>
      <c r="BH19" s="1061">
        <f>IF(ISNUMBER(((Datos!L19/Datos!K19)*11)/factor_trimestre),((Datos!L19/Datos!K19)*11)/factor_trimestre," - ")</f>
        <v>5.1480044345898008</v>
      </c>
      <c r="BI19" s="959">
        <f>IF(ISNUMBER(Datos!J19/Datos!I19),Datos!J19/Datos!I19," - ")</f>
        <v>0.73736654804270463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-1.9992360580595874</v>
      </c>
      <c r="BM19" s="1035">
        <f>IF(ISNUMBER((Datos!P19-Datos!Q19+R19)/(Datos!R19-Datos!P19+Datos!Q19-R19)),(Datos!P19-Datos!Q19+R19)/(Datos!R19-Datos!P19+Datos!Q19-R19)," - ")</f>
        <v>2.3316062176165803E-2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594.98260478773659</v>
      </c>
      <c r="G21" s="600">
        <f>IF(ISNUMBER(STDEV(G8:G18)),STDEV(G8:G18),"-")</f>
        <v>580.35161755611568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1170.8859323890892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189.34712391090954</v>
      </c>
      <c r="BD21" s="599"/>
      <c r="BE21" s="599">
        <f>IF(ISNUMBER(STDEV(BE8:BE18)),STDEV(BE8:BE18),"-")</f>
        <v>0</v>
      </c>
      <c r="BF21" s="604">
        <f>IF(ISNUMBER(STDEV(BF8:BF18)),STDEV(BF8:BF18),"-")</f>
        <v>0</v>
      </c>
      <c r="BG21" s="914">
        <f>IF(ISNUMBER(STDEV(BG8:BG18)),STDEV(BG8:BG18),"-")</f>
        <v>0.14636117518136754</v>
      </c>
      <c r="BH21" s="918">
        <f>IF(ISNUMBER(STDEV(BH8:BH18)),STDEV(BH8:BH18),"-")</f>
        <v>3.1473898581792228</v>
      </c>
      <c r="BI21" s="253">
        <f>IF(ISNUMBER(STDEV(BI8:BI18)),STDEV(BI8:BI18),"-")</f>
        <v>5.981645844925456E-2</v>
      </c>
      <c r="BJ21" s="234" t="str">
        <f>IF(ISNUMBER(BL21/BM21),BL21/BM21," - ")</f>
        <v xml:space="preserve"> - </v>
      </c>
      <c r="BK21" s="626"/>
      <c r="BL21" s="607">
        <f>IF(ISNUMBER(STDEV(BL8:BL18)),STDEV(BL8:BL18),"-")</f>
        <v>1.1670966640484846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AjdFfKF75UAQLOP48S5rkd2SjMf8teofRdvwznQUqKVELht4uRqnU8CwFimcrQHLhnuoBGXBYJtV46pxi2MOg==" saltValue="cFOSsP88kaQ+gDIS1qg1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TORREJON DE ARDOZ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538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330</v>
      </c>
      <c r="AA9" s="505" t="str">
        <f>IF(ISNUMBER(IF(J_V="SI",Datos!L9,Datos!L9+Datos!AB9)-IF(Monitorios="SI",Datos!CD9,0)),
                          IF(J_V="SI",Datos!L9,Datos!L9+Datos!AB9)-IF(Monitorios="SI",Datos!CD9,0),
                          " - ")</f>
        <v xml:space="preserve"> - </v>
      </c>
      <c r="AB9" s="503"/>
      <c r="AC9" s="503"/>
      <c r="AD9" s="516"/>
      <c r="AE9" s="516">
        <f>IF(ISNUMBER(Datos!R9),Datos!R9," - ")</f>
        <v>7419</v>
      </c>
      <c r="AF9" s="619" t="str">
        <f>IF(ISNUMBER(Datos!BV9),Datos!BV9," - ")</f>
        <v xml:space="preserve"> - </v>
      </c>
      <c r="AG9" s="506" t="str">
        <f>IF(ISNUMBER(Datos!DV9),Datos!DV9," - ")</f>
        <v xml:space="preserve"> - </v>
      </c>
      <c r="AH9" s="507"/>
      <c r="AI9" s="508"/>
      <c r="AJ9" s="506">
        <f>IF(ISNUMBER(Datos!M9),Datos!M9," - ")</f>
        <v>392</v>
      </c>
      <c r="AK9" s="619">
        <f>IF(ISNUMBER(Datos!N9),Datos!N9," - ")</f>
        <v>1861</v>
      </c>
      <c r="AL9" s="619" t="str">
        <f>IF(ISNUMBER(Datos!BW9),Datos!BW9," - ")</f>
        <v xml:space="preserve"> - </v>
      </c>
      <c r="AM9" s="667" t="str">
        <f>IF(ISNUMBER(Datos!BX9),Datos!BX9," - ")</f>
        <v xml:space="preserve"> - </v>
      </c>
      <c r="AN9" s="668"/>
      <c r="AO9" s="669">
        <f>IF(ISNUMBER(((NºAsuntos!I9/NºAsuntos!G9)*11)/factor_trimestre),((NºAsuntos!I9/NºAsuntos!G9)*11)/factor_trimestre," - ")</f>
        <v>7.7480694980694986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2.8844820413257522E-2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132</v>
      </c>
      <c r="G10" s="506">
        <f>IF(ISNUMBER(Datos!I10),Datos!I10," - ")</f>
        <v>132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68</v>
      </c>
      <c r="Z10" s="703">
        <f>IF(ISNUMBER(Datos!Q10),Datos!Q10," - ")</f>
        <v>7</v>
      </c>
      <c r="AA10" s="505">
        <f>IF(ISNUMBER(Datos!L10),Datos!L10,"-")</f>
        <v>122</v>
      </c>
      <c r="AB10" s="503"/>
      <c r="AC10" s="503"/>
      <c r="AD10" s="516"/>
      <c r="AE10" s="516">
        <f>IF(ISNUMBER(Datos!R10),Datos!R10," - ")</f>
        <v>73</v>
      </c>
      <c r="AF10" s="619" t="str">
        <f>IF(ISNUMBER(Datos!BV10),Datos!BV10," - ")</f>
        <v xml:space="preserve"> - </v>
      </c>
      <c r="AG10" s="506" t="str">
        <f>IF(ISNUMBER(Datos!DV10),Datos!DV10," - ")</f>
        <v xml:space="preserve"> - </v>
      </c>
      <c r="AH10" s="507"/>
      <c r="AI10" s="508"/>
      <c r="AJ10" s="506">
        <f>IF(ISNUMBER(Datos!M10),Datos!M10," - ")</f>
        <v>20</v>
      </c>
      <c r="AK10" s="619">
        <f>IF(ISNUMBER(Datos!N10),Datos!N10," - ")</f>
        <v>40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5.382352941176471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-3.9473684210526314E-2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132</v>
      </c>
      <c r="G13" s="1044">
        <f>SUBTOTAL(9,G8:G12)</f>
        <v>132</v>
      </c>
      <c r="H13" s="1054"/>
      <c r="I13" s="1044">
        <f t="shared" ref="I13:N13" si="0">SUBTOTAL(9,I8:I12)</f>
        <v>0</v>
      </c>
      <c r="J13" s="1013">
        <f t="shared" si="0"/>
        <v>0</v>
      </c>
      <c r="K13" s="1054">
        <f t="shared" si="0"/>
        <v>0</v>
      </c>
      <c r="L13" s="1054">
        <f t="shared" si="0"/>
        <v>0</v>
      </c>
      <c r="M13" s="1054">
        <f t="shared" si="0"/>
        <v>0</v>
      </c>
      <c r="N13" s="1054">
        <f t="shared" si="0"/>
        <v>542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68</v>
      </c>
      <c r="Z13" s="1053">
        <f t="shared" si="2"/>
        <v>337</v>
      </c>
      <c r="AA13" s="1046">
        <f t="shared" si="2"/>
        <v>122</v>
      </c>
      <c r="AB13" s="1046">
        <f t="shared" si="2"/>
        <v>0</v>
      </c>
      <c r="AC13" s="1046">
        <f t="shared" si="2"/>
        <v>0</v>
      </c>
      <c r="AD13" s="1046">
        <f t="shared" si="2"/>
        <v>0</v>
      </c>
      <c r="AE13" s="1046">
        <f t="shared" si="2"/>
        <v>7492</v>
      </c>
      <c r="AF13" s="1054">
        <f t="shared" si="2"/>
        <v>0</v>
      </c>
      <c r="AG13" s="1054">
        <f t="shared" si="2"/>
        <v>0</v>
      </c>
      <c r="AH13" s="1054">
        <f t="shared" si="2"/>
        <v>0</v>
      </c>
      <c r="AI13" s="1054">
        <f t="shared" si="2"/>
        <v>0</v>
      </c>
      <c r="AJ13" s="1054">
        <f t="shared" si="2"/>
        <v>412</v>
      </c>
      <c r="AK13" s="1054">
        <f t="shared" si="2"/>
        <v>1901</v>
      </c>
      <c r="AL13" s="1054">
        <f t="shared" si="2"/>
        <v>0</v>
      </c>
      <c r="AM13" s="1054">
        <f t="shared" si="2"/>
        <v>0</v>
      </c>
      <c r="AN13" s="1054">
        <f t="shared" si="2"/>
        <v>0</v>
      </c>
      <c r="AO13" s="1050">
        <f>IF(ISNUMBER(((NºAsuntos!I13/NºAsuntos!G13)*11)/factor_trimestre),((NºAsuntos!I13/NºAsuntos!G13)*11)/factor_trimestre," - ")</f>
        <v>7.6974181360201506</v>
      </c>
      <c r="AP13" s="1056" t="str">
        <f>IF(ISNUMBER(Datos!CI13/Datos!CJ13),Datos!CI13/Datos!CJ13," - ")</f>
        <v xml:space="preserve"> - </v>
      </c>
      <c r="AQ13" s="1074">
        <f t="shared" ref="AQ13:AV13" si="3">SUBTOTAL(9,AQ9:AQ12)</f>
        <v>0</v>
      </c>
      <c r="AR13" s="1074">
        <f t="shared" si="3"/>
        <v>-1.0628863797268791E-2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1169</v>
      </c>
      <c r="G15" s="506">
        <f>IF(ISNUMBER(IF(D_I="SI",Datos!I15,Datos!I15+Datos!AC15)),IF(D_I="SI",Datos!I15,Datos!I15+Datos!AC15)," - ")</f>
        <v>1126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2187</v>
      </c>
      <c r="Z15" s="703">
        <f>IF(ISNUMBER(Datos!Q15),Datos!Q15," - ")</f>
        <v>110</v>
      </c>
      <c r="AA15" s="505">
        <f>IF(ISNUMBER(IF(D_I="SI",Datos!L15,Datos!L15+Datos!AF15)),IF(D_I="SI",Datos!L15,Datos!L15+Datos!AF15)," - ")</f>
        <v>1177</v>
      </c>
      <c r="AB15" s="503"/>
      <c r="AC15" s="503"/>
      <c r="AD15" s="516"/>
      <c r="AE15" s="516">
        <f>IF(ISNUMBER(Datos!R15),Datos!R15," - ")</f>
        <v>405</v>
      </c>
      <c r="AF15" s="619" t="str">
        <f>IF(ISNUMBER(Datos!BV15),Datos!BV15," - ")</f>
        <v xml:space="preserve"> - </v>
      </c>
      <c r="AG15" s="506"/>
      <c r="AH15" s="507"/>
      <c r="AI15" s="508"/>
      <c r="AJ15" s="506">
        <f>IF(ISNUMBER(Datos!M15),Datos!M15," - ")</f>
        <v>309</v>
      </c>
      <c r="AK15" s="619">
        <f>IF(ISNUMBER(Datos!N15),Datos!N15," - ")</f>
        <v>1255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1.6145404663923184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8</v>
      </c>
      <c r="G16" s="506">
        <f>IF(ISNUMBER(IF(D_I="SI",Datos!I16,Datos!I16+Datos!AC16)),IF(D_I="SI",Datos!I16,Datos!I16+Datos!AC16)," - ")</f>
        <v>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8</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195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362</v>
      </c>
      <c r="Z17" s="703">
        <f>IF(ISNUMBER(Datos!Q17),Datos!Q17," - ")</f>
        <v>6</v>
      </c>
      <c r="AA17" s="505">
        <f>IF(ISNUMBER(Datos!L17),Datos!L17,"-")</f>
        <v>211</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14</v>
      </c>
      <c r="AK17" s="619">
        <f>IF(ISNUMBER(Datos!N17),Datos!N17," - ")</f>
        <v>242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1.7486187845303869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1177</v>
      </c>
      <c r="G18" s="1044">
        <f>SUBTOTAL(9,G15:G17)</f>
        <v>1329</v>
      </c>
      <c r="H18" s="1078">
        <f>SUBTOTAL(9,H15:H17)</f>
        <v>0</v>
      </c>
      <c r="I18" s="1057">
        <f>SUBTOTAL(9,I15:I17)</f>
        <v>0</v>
      </c>
      <c r="J18" s="1013">
        <f>SUBTOTAL(9,J14:J17)</f>
        <v>0</v>
      </c>
      <c r="K18" s="1078">
        <f t="shared" ref="K18:S18" si="4">SUBTOTAL(9,K15:K17)</f>
        <v>0</v>
      </c>
      <c r="L18" s="1078">
        <f t="shared" si="4"/>
        <v>0</v>
      </c>
      <c r="M18" s="1078">
        <f t="shared" si="4"/>
        <v>0</v>
      </c>
      <c r="N18" s="1078">
        <f t="shared" si="4"/>
        <v>91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2549</v>
      </c>
      <c r="Z18" s="1078">
        <f t="shared" si="5"/>
        <v>116</v>
      </c>
      <c r="AA18" s="1078">
        <f t="shared" si="5"/>
        <v>1396</v>
      </c>
      <c r="AB18" s="1078">
        <f t="shared" si="5"/>
        <v>0</v>
      </c>
      <c r="AC18" s="1078">
        <f t="shared" si="5"/>
        <v>0</v>
      </c>
      <c r="AD18" s="1078">
        <f t="shared" si="5"/>
        <v>0</v>
      </c>
      <c r="AE18" s="1078">
        <f t="shared" si="5"/>
        <v>408</v>
      </c>
      <c r="AF18" s="1078">
        <f t="shared" si="5"/>
        <v>0</v>
      </c>
      <c r="AG18" s="1078">
        <f t="shared" si="5"/>
        <v>0</v>
      </c>
      <c r="AH18" s="1078">
        <f t="shared" si="5"/>
        <v>0</v>
      </c>
      <c r="AI18" s="1078">
        <f t="shared" si="5"/>
        <v>0</v>
      </c>
      <c r="AJ18" s="1078">
        <f t="shared" si="5"/>
        <v>323</v>
      </c>
      <c r="AK18" s="1078">
        <f t="shared" si="5"/>
        <v>1497</v>
      </c>
      <c r="AL18" s="1078">
        <f t="shared" si="5"/>
        <v>0</v>
      </c>
      <c r="AM18" s="1078">
        <f t="shared" si="5"/>
        <v>0</v>
      </c>
      <c r="AN18" s="1078">
        <f t="shared" si="5"/>
        <v>0</v>
      </c>
      <c r="AO18" s="1080">
        <f>IF(ISNUMBER(((NºAsuntos!I18/NºAsuntos!G18)*11)/factor_trimestre),((NºAsuntos!I18/NºAsuntos!G18)*11)/factor_trimestre," - ")</f>
        <v>1.6429972538250297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1309</v>
      </c>
      <c r="G19" s="966">
        <f t="shared" si="7"/>
        <v>1461</v>
      </c>
      <c r="H19" s="967">
        <f t="shared" si="7"/>
        <v>0</v>
      </c>
      <c r="I19" s="966">
        <f t="shared" si="7"/>
        <v>0</v>
      </c>
      <c r="J19" s="968">
        <f t="shared" si="7"/>
        <v>0</v>
      </c>
      <c r="K19" s="966">
        <f t="shared" si="7"/>
        <v>0</v>
      </c>
      <c r="L19" s="969">
        <f t="shared" si="7"/>
        <v>0</v>
      </c>
      <c r="M19" s="966">
        <f t="shared" si="7"/>
        <v>0</v>
      </c>
      <c r="N19" s="967">
        <f t="shared" si="7"/>
        <v>633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2617</v>
      </c>
      <c r="Z19" s="973">
        <f t="shared" si="8"/>
        <v>453</v>
      </c>
      <c r="AA19" s="974">
        <f t="shared" si="8"/>
        <v>1518</v>
      </c>
      <c r="AB19" s="974">
        <f t="shared" si="8"/>
        <v>0</v>
      </c>
      <c r="AC19" s="974">
        <f t="shared" si="8"/>
        <v>0</v>
      </c>
      <c r="AD19" s="975">
        <f t="shared" si="8"/>
        <v>0</v>
      </c>
      <c r="AE19" s="975">
        <f t="shared" si="8"/>
        <v>7900</v>
      </c>
      <c r="AF19" s="976">
        <f t="shared" si="8"/>
        <v>0</v>
      </c>
      <c r="AG19" s="977">
        <f t="shared" si="8"/>
        <v>0</v>
      </c>
      <c r="AH19" s="978">
        <f t="shared" si="8"/>
        <v>0</v>
      </c>
      <c r="AI19" s="976">
        <f t="shared" si="8"/>
        <v>0</v>
      </c>
      <c r="AJ19" s="966">
        <f t="shared" si="8"/>
        <v>735</v>
      </c>
      <c r="AK19" s="966">
        <f t="shared" si="8"/>
        <v>3398</v>
      </c>
      <c r="AL19" s="966">
        <f t="shared" si="8"/>
        <v>0</v>
      </c>
      <c r="AM19" s="979">
        <f t="shared" si="8"/>
        <v>0</v>
      </c>
      <c r="AN19" s="969">
        <f>IF(ISNUMBER(Datos!K19/Datos!J19),Datos!K19/Datos!J19," - ")</f>
        <v>0.87065637065637069</v>
      </c>
      <c r="AO19" s="969">
        <f>IF(ISNUMBER(FIND("06",Criterios!A8,1)),(IF(ISNUMBER(((Datos!R19/Datos!Q19)*11)/factor_trimestre),((Datos!R19/Datos!Q19)*11)/factor_trimestre," - ")),(IF(ISNUMBER(((Datos!L19/Datos!K19)*11)/factor_trimestre),((Datos!L19/Datos!K19)*11)/factor_trimestre," - ")))</f>
        <v>5.1480044345898008</v>
      </c>
      <c r="AP19" s="980" t="str">
        <f>IF(ISNUMBER(Datos!CI19/Datos!CJ19),Datos!CI19/Datos!CJ19," - ")</f>
        <v xml:space="preserve"> - </v>
      </c>
      <c r="AQ19" s="980">
        <f>IF(OR(ISNUMBER(FIND("01",Criterios!A8,1)),ISNUMBER(FIND("02",Criterios!A8,1)),ISNUMBER(FIND("03",Criterios!A8,1)),ISNUMBER(FIND("04",Criterios!A8,1))),(J19-Y19+K19)/(F19-K19),(I19-Y19+K19)/(F19-K19))</f>
        <v>-1.9992360580595874</v>
      </c>
      <c r="AR19" s="980">
        <f>IF(ISNUMBER((Datos!P19-Datos!Q19+O19)/(Datos!R19-Datos!P19+Datos!Q19-O19)),(Datos!P19-Datos!Q19+O19)/(Datos!R19-Datos!P19+Datos!Q19-O19)," - ")</f>
        <v>2.3316062176165803E-2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594.98260478773659</v>
      </c>
      <c r="G21" s="600">
        <f>IF(ISNUMBER(STDEV(G8:G18)),STDEV(G8:G18),"-")</f>
        <v>580.35161755611568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189.34712391090954</v>
      </c>
      <c r="AK21" s="256"/>
      <c r="AL21" s="256">
        <f>IF(ISNUMBER(STDEV(AL8:AL18)),STDEV(AL8:AL18),"-")</f>
        <v>0</v>
      </c>
      <c r="AM21" s="258">
        <f>IF(ISNUMBER(STDEV(AM8:AM18)),STDEV(AM8:AM18),"-")</f>
        <v>0</v>
      </c>
      <c r="AN21" s="586">
        <f>IF(ISNUMBER(STDEV(AN8:AN18)),STDEV(AN8:AN18),"-")</f>
        <v>0</v>
      </c>
      <c r="AO21" s="587">
        <f>IF(ISNUMBER(STDEV(AO8:AO18)),STDEV(AO8:AO18),"-")</f>
        <v>3.012767203640244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zrnT4ir4MAsf/In7mBfLxpbx0YnA2GlbKRNMwRoHahKpFcs33m9lEifLI1Yy9K4X8bXzqpp9Dsn9Dwr7V0e+Q==" saltValue="Ji+MavFN+KcBQFhLGc0r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UO0txf69MNBhWE4Y2okOc5TAnIgbuj3GyxI4NmcKlN5LJ7LvxY7MsGPsK4ZWf4P20TJ1gJM8Zhzd3uNmfIIWg==" saltValue="GDafudkp9DSF+Mp7jxHt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TwJNbJbwhBRa0H+EAEklH4yUqRzPA/J0dey0U7MSA1ovfXywm5zq7yIDIDtcty/5sBW3qitc7eypkqQwTX3Ew==" saltValue="LwXYflUFQoEAPa6mq+ES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TORREJON DE ARDOZ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0.12972292191435769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9.1727957760975323E-2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oTeE6BPwjjZUj8uTxqOi2Ln3j6l8qpee/5tH/hCxXvmdLe6jQ6BhrsLe2f4HkCpQeWL3JzbgDVavGbwNzviaA==" saltValue="1kXzbU8sEOXFpUE0XcgA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c3pULozgkal0cX7jbt71yIMHSjK939KiPCpWNZ34cjBbnCNjGEAKCbdNbBECM7MklJk9x62O/nMQt5bbUInK/Q==" saltValue="jj/Tjs2xDKNYnJvqpFYw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TORREJON DE ARDOZ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7229</v>
      </c>
      <c r="D9" s="415">
        <f>IF(ISNUMBER(C9/Datos!BH9),C9/Datos!BH9," - ")</f>
        <v>1204.8333333333333</v>
      </c>
      <c r="E9" s="414">
        <f>IF(ISNUMBER(IF(J_V="SI",Datos!J9,Datos!J9+Datos!Z9)),IF(J_V="SI",Datos!J9,Datos!J9+Datos!Z9)," - ")</f>
        <v>3909</v>
      </c>
      <c r="F9" s="415">
        <f>IF(ISNUMBER(E9/B9),E9/B9," - ")</f>
        <v>651.5</v>
      </c>
      <c r="G9" s="414">
        <f>IF(ISNUMBER(IF(J_V="SI",Datos!K9,Datos!K9+Datos!AA9)),IF(J_V="SI",Datos!K9,Datos!K9+Datos!AA9)," - ")</f>
        <v>3108</v>
      </c>
      <c r="H9" s="415">
        <f>IF(ISNUMBER(G9/B9),G9/B9," - ")</f>
        <v>518</v>
      </c>
      <c r="I9" s="414">
        <f>IF(ISNUMBER(IF(J_V="SI",Datos!L9,Datos!L9+Datos!AB9)),IF(J_V="SI",Datos!L9,Datos!L9+Datos!AB9)," - ")</f>
        <v>8027</v>
      </c>
      <c r="J9" s="415">
        <f>IF(ISNUMBER(I9/B9),I9/B9," - ")</f>
        <v>1337.8333333333333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132</v>
      </c>
      <c r="D10" s="415">
        <f>IF(ISNUMBER(C10/Datos!BH10),C10/Datos!BH10," - ")</f>
        <v>132</v>
      </c>
      <c r="E10" s="414">
        <f>IF(ISNUMBER(Datos!J10),Datos!J10," - ")</f>
        <v>58</v>
      </c>
      <c r="F10" s="415">
        <f>IF(ISNUMBER(E10/B10),E10/B10," - ")</f>
        <v>58</v>
      </c>
      <c r="G10" s="414">
        <f>IF(ISNUMBER(Datos!K10),Datos!K10," - ")</f>
        <v>68</v>
      </c>
      <c r="H10" s="415">
        <f>IF(ISNUMBER(G10/B10),G10/B10," - ")</f>
        <v>68</v>
      </c>
      <c r="I10" s="414">
        <f>IF(ISNUMBER(Datos!L10),Datos!L10," - ")</f>
        <v>122</v>
      </c>
      <c r="J10" s="415">
        <f>IF(ISNUMBER(I10/B10),I10/B10," - ")</f>
        <v>122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7361</v>
      </c>
      <c r="D13" s="996" t="str">
        <f>IF(ISNUMBER(C13/Datos!BI13),C13/Datos!BI13," - ")</f>
        <v xml:space="preserve"> - </v>
      </c>
      <c r="E13" s="995">
        <f>SUBTOTAL(9,E8:E12)</f>
        <v>3967</v>
      </c>
      <c r="F13" s="996">
        <f>IF(ISNUMBER(E13/B13),E13/B13," - ")</f>
        <v>566.71428571428567</v>
      </c>
      <c r="G13" s="995">
        <f>SUBTOTAL(9,G8:G12)</f>
        <v>3176</v>
      </c>
      <c r="H13" s="996">
        <f>IF(ISNUMBER(G13/B13),G13/B13," - ")</f>
        <v>453.71428571428572</v>
      </c>
      <c r="I13" s="995">
        <f>SUBTOTAL(9,I8:I12)</f>
        <v>8149</v>
      </c>
      <c r="J13" s="996">
        <f>IF(ISNUMBER(I13/B13),I13/B13," - ")</f>
        <v>1164.1428571428571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1126</v>
      </c>
      <c r="D15" s="415">
        <f>IF(ISNUMBER(C15/Datos!BH15),C15/Datos!BH15," - ")</f>
        <v>281.5</v>
      </c>
      <c r="E15" s="414">
        <f>IF(ISNUMBER(IF(D_I="SI",Datos!J15,Datos!J15+Datos!AD15)),IF(D_I="SI",Datos!J15,Datos!J15+Datos!AD15)," - ")</f>
        <v>2195</v>
      </c>
      <c r="F15" s="415">
        <f>IF(ISNUMBER(E15/B15),E15/B15," - ")</f>
        <v>548.75</v>
      </c>
      <c r="G15" s="414">
        <f>IF(ISNUMBER(IF(D_I="SI",Datos!K15,Datos!K15+Datos!AE15)),IF(D_I="SI",Datos!K15,Datos!K15+Datos!AE15)," - ")</f>
        <v>2187</v>
      </c>
      <c r="H15" s="415">
        <f>IF(ISNUMBER(G15/B15),G15/B15," - ")</f>
        <v>546.75</v>
      </c>
      <c r="I15" s="414">
        <f>IF(ISNUMBER(IF(D_I="SI",Datos!L15,Datos!L15+Datos!AF15)),IF(D_I="SI",Datos!L15,Datos!L15+Datos!AF15)," - ")</f>
        <v>1177</v>
      </c>
      <c r="J15" s="415">
        <f>IF(ISNUMBER(I15/B15),I15/B15," - ")</f>
        <v>294.25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8</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8</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195</v>
      </c>
      <c r="D17" s="415">
        <f>IF(ISNUMBER(C17/Datos!BH17),C17/Datos!BH17," - ")</f>
        <v>195</v>
      </c>
      <c r="E17" s="414">
        <f>IF(ISNUMBER(IF(D_I="SI",Datos!J17,Datos!J17+Datos!AD17)),IF(D_I="SI",Datos!J17,Datos!J17+Datos!AD17)," - ")</f>
        <v>365</v>
      </c>
      <c r="F17" s="415">
        <f>IF(ISNUMBER(E17/B17),E17/B17," - ")</f>
        <v>365</v>
      </c>
      <c r="G17" s="414">
        <f>IF(ISNUMBER(IF(D_I="SI",Datos!K17,Datos!K17+Datos!AE17)),IF(D_I="SI",Datos!K17,Datos!K17+Datos!AE17)," - ")</f>
        <v>362</v>
      </c>
      <c r="H17" s="415">
        <f>IF(ISNUMBER(G17/B17),G17/B17," - ")</f>
        <v>362</v>
      </c>
      <c r="I17" s="414">
        <f>IF(ISNUMBER(IF(D_I="SI",Datos!L17,Datos!L17+Datos!AF17)),IF(D_I="SI",Datos!L17,Datos!L17+Datos!AF17)," - ")</f>
        <v>211</v>
      </c>
      <c r="J17" s="415">
        <f>IF(ISNUMBER(I17/B17),I17/B17," - ")</f>
        <v>211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1329</v>
      </c>
      <c r="D18" s="996" t="str">
        <f>IF(ISNUMBER(C18/Datos!BI18),C18/Datos!BI18," - ")</f>
        <v xml:space="preserve"> - </v>
      </c>
      <c r="E18" s="995">
        <f>SUBTOTAL(9,E14:E17)</f>
        <v>2560</v>
      </c>
      <c r="F18" s="996">
        <f>IF(ISNUMBER(E18/B18),E18/B18," - ")</f>
        <v>512</v>
      </c>
      <c r="G18" s="995">
        <f>SUBTOTAL(9,G14:G17)</f>
        <v>2549</v>
      </c>
      <c r="H18" s="996">
        <f>IF(ISNUMBER(G18/B18),G18/B18," - ")</f>
        <v>509.8</v>
      </c>
      <c r="I18" s="995">
        <f>SUBTOTAL(9,I14:I17)</f>
        <v>1396</v>
      </c>
      <c r="J18" s="996">
        <f>IF(ISNUMBER(I18/B18),I18/B18," - ")</f>
        <v>279.2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8690</v>
      </c>
      <c r="D19" s="941" t="str">
        <f>IF(ISNUMBER(C19/Datos!BI19),C19/Datos!BI19," - ")</f>
        <v xml:space="preserve"> - </v>
      </c>
      <c r="E19" s="940">
        <f>SUBTOTAL(9,E9:E18)</f>
        <v>6527</v>
      </c>
      <c r="F19" s="941">
        <f>IF(ISNUMBER(E19/B19),E19/B19," - ")</f>
        <v>593.36363636363637</v>
      </c>
      <c r="G19" s="940">
        <f>SUBTOTAL(9,G9:G18)</f>
        <v>5725</v>
      </c>
      <c r="H19" s="941">
        <f>IF(ISNUMBER(G19/B19),G19/B19," - ")</f>
        <v>520.4545454545455</v>
      </c>
      <c r="I19" s="940">
        <f>SUBTOTAL(9,I9:I18)</f>
        <v>9545</v>
      </c>
      <c r="J19" s="941">
        <f>IF(ISNUMBER(I19/B19),I19/B19," - ")</f>
        <v>867.72727272727275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d8h+6J166X9gKgbYHdT99BSWi3BarsMLdJl0jzlP51PjLGZxaDlp4XCqhaMWponO1yquuUmHjpPnEuCCclmtQ==" saltValue="0S7+GgIEaELE1iUIf12T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TORREJON DE ARDOZ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132</v>
      </c>
      <c r="G10" s="802">
        <f>IF(ISNUMBER(Datos!I10),Datos!I10," - ")</f>
        <v>132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68</v>
      </c>
      <c r="AC10" s="801" t="str">
        <f>IF(ISNUMBER(IF(D_I="SI",DatosP!K17,DatosP!K17+DatosP!AE17)),IF(D_I="SI",DatosP!K17,DatosP!K17+DatosP!AE17)," - ")</f>
        <v xml:space="preserve"> - </v>
      </c>
      <c r="AD10" s="803"/>
      <c r="AE10" s="803"/>
      <c r="AF10" s="806">
        <f>IF(ISNUMBER(Datos!L10),Datos!L10,"-")</f>
        <v>122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20</v>
      </c>
      <c r="AM10" s="810">
        <f>IF(ISNUMBER(Datos!N10+DatosP!N17),Datos!N10+DatosP!N17," - ")</f>
        <v>40</v>
      </c>
      <c r="AN10" s="810">
        <f>IF(ISNUMBER(Datos!BW10+DatosP!BW17),Datos!BW10+DatosP!BW17," - ")</f>
        <v>0</v>
      </c>
      <c r="AO10" s="811">
        <f>IF(ISNUMBER(Datos!BX10+DatosP!BX17),Datos!BX10+DatosP!BX17," - ")</f>
        <v>0</v>
      </c>
      <c r="AP10" s="813">
        <f>IF(ISNUMBER(((Datos!L10/Datos!K10)*11)/factor_trimestre),((Datos!L10/Datos!K10)*11)/factor_trimestre," - ")</f>
        <v>5.382352941176471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132</v>
      </c>
      <c r="G13" s="1084">
        <f t="shared" si="0"/>
        <v>132</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68</v>
      </c>
      <c r="AC13" s="1085">
        <f t="shared" si="1"/>
        <v>0</v>
      </c>
      <c r="AD13" s="1085">
        <f t="shared" si="1"/>
        <v>0</v>
      </c>
      <c r="AE13" s="1085">
        <f t="shared" si="1"/>
        <v>0</v>
      </c>
      <c r="AF13" s="1085">
        <f t="shared" si="1"/>
        <v>122</v>
      </c>
      <c r="AG13" s="1085">
        <f t="shared" si="1"/>
        <v>0</v>
      </c>
      <c r="AH13" s="1085">
        <f t="shared" si="1"/>
        <v>0</v>
      </c>
      <c r="AI13" s="1085">
        <f t="shared" si="1"/>
        <v>0</v>
      </c>
      <c r="AJ13" s="1085">
        <f t="shared" si="1"/>
        <v>0</v>
      </c>
      <c r="AK13" s="1085">
        <f t="shared" si="1"/>
        <v>0</v>
      </c>
      <c r="AL13" s="1085">
        <f t="shared" si="1"/>
        <v>20</v>
      </c>
      <c r="AM13" s="1085">
        <f t="shared" si="1"/>
        <v>40</v>
      </c>
      <c r="AN13" s="1085">
        <f t="shared" si="1"/>
        <v>0</v>
      </c>
      <c r="AO13" s="1085">
        <f t="shared" si="1"/>
        <v>0</v>
      </c>
      <c r="AP13" s="1090">
        <f>IF(ISNUMBER(((Datos!L13/Datos!K13)*11)/factor_trimestre),((Datos!L13/Datos!K13)*11)/factor_trimestre," - ")</f>
        <v>8.2685993712888575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-0.51515151515151514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1.6429972538250297</v>
      </c>
      <c r="AQ18" s="1090">
        <f>IF(ISNUMBER(((Datos!M18/Datos!L18)*11)/factor_trimestre),((Datos!M18/Datos!L18)*11)/factor_trimestre," - ")</f>
        <v>0.69412607449856734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-5.7736720554272515E-2</v>
      </c>
      <c r="AW18" s="1092">
        <f>IF(ISNUMBER((Datos!Q18-Datos!R18)/(Datos!S18-Datos!Q18+Datos!R18)),(Datos!Q18-Datos!R18)/(Datos!S18-Datos!Q18+Datos!R18)," - ")</f>
        <v>-0.20548909218859956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132</v>
      </c>
      <c r="G19" s="1097">
        <f t="shared" si="4"/>
        <v>132</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68</v>
      </c>
      <c r="AC19" s="1103">
        <f t="shared" si="5"/>
        <v>0</v>
      </c>
      <c r="AD19" s="1103">
        <f t="shared" si="5"/>
        <v>0</v>
      </c>
      <c r="AE19" s="1103">
        <f t="shared" si="5"/>
        <v>0</v>
      </c>
      <c r="AF19" s="1104">
        <f t="shared" si="5"/>
        <v>122</v>
      </c>
      <c r="AG19" s="1104">
        <f t="shared" si="5"/>
        <v>0</v>
      </c>
      <c r="AH19" s="1104">
        <f t="shared" si="5"/>
        <v>0</v>
      </c>
      <c r="AI19" s="1104">
        <f t="shared" si="5"/>
        <v>0</v>
      </c>
      <c r="AJ19" s="1105">
        <f t="shared" si="5"/>
        <v>0</v>
      </c>
      <c r="AK19" s="1105">
        <f t="shared" si="5"/>
        <v>0</v>
      </c>
      <c r="AL19" s="1097">
        <f t="shared" si="5"/>
        <v>20</v>
      </c>
      <c r="AM19" s="1097">
        <f t="shared" si="5"/>
        <v>40</v>
      </c>
      <c r="AN19" s="1097">
        <f t="shared" si="5"/>
        <v>0</v>
      </c>
      <c r="AO19" s="1097">
        <f t="shared" si="5"/>
        <v>0</v>
      </c>
      <c r="AP19" s="1097">
        <f>IF(ISNUMBER(((Datos!L19/Datos!K19)*11)/factor_trimestre),((Datos!L19/Datos!K19)*11)/factor_trimestre," - ")</f>
        <v>5.1480044345898008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-0.51515151515151514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2.3316062176165803E-2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76.210235533030598</v>
      </c>
      <c r="G21" s="870">
        <f>IF(ISNUMBER(STDEV(G8:G18)),STDEV(G8:G18),"-")</f>
        <v>76.210235533030598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39.259818304894551</v>
      </c>
      <c r="AC21" s="871">
        <f>IF(ISNUMBER(STDEV(AC8:AC18)),STDEV(AC8:AC18),"-")</f>
        <v>0</v>
      </c>
      <c r="AD21" s="874"/>
      <c r="AE21" s="874"/>
      <c r="AF21" s="874"/>
      <c r="AG21" s="874"/>
      <c r="AH21" s="874"/>
      <c r="AI21" s="874"/>
      <c r="AJ21" s="875">
        <f>IF(ISNUMBER(STDEV(AJ8:AJ18)),STDEV(AJ8:AJ18),"-")</f>
        <v>0</v>
      </c>
      <c r="AK21" s="877"/>
      <c r="AL21" s="869">
        <f>IF(ISNUMBER(STDEV(AL8:AL18)),STDEV(AL8:AL18),"-")</f>
        <v>11.547005383792515</v>
      </c>
      <c r="AM21" s="869"/>
      <c r="AN21" s="869">
        <f>IF(ISNUMBER(STDEV(AN8:AN18)),STDEV(AN8:AN18),"-")</f>
        <v>0</v>
      </c>
      <c r="AO21" s="875">
        <f>IF(ISNUMBER(STDEV(AO8:AO18)),STDEV(AO8:AO18),"-")</f>
        <v>0</v>
      </c>
      <c r="AP21" s="922">
        <f>IF(ISNUMBER(STDEV(AP8:AP18)),STDEV(AP8:AP18),"-")</f>
        <v>3.321942274001894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v8U0rekedYmjcTa85A+6lsizPeSUIt6SKbj+sJfqB5OE/66uHNRCzWhjuSrRgcfGgzivr1gNu75msffnHEBpA==" saltValue="ZQNNrAhJfnQujpmJsEv9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TORREJON DE ARDOZ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EENGr7Ahfyp8jiVM9DW2vl0sGyyX3svasyrRNKAUr6hTrzxf9OBpcUTa54Jre5Qspf0i1FY1rLKX+o8aIMahw==" saltValue="+VaSeYfSfGpjFf929gkr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TORREJON DE ARDOZ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392</v>
      </c>
      <c r="E9" s="415">
        <f t="shared" ref="E9:E13" si="0">IF(ISNUMBER(D9/B9),D9/B9," - ")</f>
        <v>65.333333333333329</v>
      </c>
      <c r="F9" s="414">
        <f>IF(ISNUMBER(Datos!N9),Datos!N9," - ")</f>
        <v>1861</v>
      </c>
      <c r="G9" s="415">
        <f t="shared" ref="G9:G13" si="1">IF(ISNUMBER(F9/B9),F9/B9," - ")</f>
        <v>310.16666666666669</v>
      </c>
      <c r="H9" s="414">
        <f>IF(ISNUMBER(Datos!O9),Datos!O9," - ")</f>
        <v>1068</v>
      </c>
      <c r="I9" s="415">
        <f>IF(ISNUMBER(H9/B9),H9/B9," - ")</f>
        <v>178</v>
      </c>
    </row>
    <row r="10" spans="1:9">
      <c r="A10" s="413" t="str">
        <f>Datos!A10</f>
        <v>Jdos. Violencia contra la mujer</v>
      </c>
      <c r="B10" s="443">
        <f>Datos!AO10</f>
        <v>1</v>
      </c>
      <c r="C10" s="421">
        <f>Datos!AQ10</f>
        <v>1</v>
      </c>
      <c r="D10" s="414">
        <f>IF(ISNUMBER(Datos!M10),Datos!M10," - ")</f>
        <v>20</v>
      </c>
      <c r="E10" s="415">
        <f>IF(ISNUMBER(D10/B10),D10/B10," - ")</f>
        <v>20</v>
      </c>
      <c r="F10" s="414">
        <f>IF(ISNUMBER(Datos!N10),Datos!N10," - ")</f>
        <v>40</v>
      </c>
      <c r="G10" s="415">
        <f>IF(ISNUMBER(F10/B10),F10/B10," - ")</f>
        <v>40</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412</v>
      </c>
      <c r="E13" s="996">
        <f t="shared" si="0"/>
        <v>58.857142857142854</v>
      </c>
      <c r="F13" s="995">
        <f>SUBTOTAL(9,F9:F12)</f>
        <v>1901</v>
      </c>
      <c r="G13" s="996">
        <f t="shared" si="1"/>
        <v>271.57142857142856</v>
      </c>
      <c r="H13" s="995">
        <f>SUBTOTAL(9,H9:H12)</f>
        <v>1074</v>
      </c>
      <c r="I13" s="996">
        <f>IF(ISNUMBER(H13/B13),H13/B13," - ")</f>
        <v>153.42857142857142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309</v>
      </c>
      <c r="E15" s="415">
        <f t="shared" ref="E15:E18" si="3">IF(ISNUMBER(D15/B15),D15/B15," - ")</f>
        <v>77.25</v>
      </c>
      <c r="F15" s="414">
        <f>IF(ISNUMBER(Datos!N15),Datos!N15," - ")</f>
        <v>1255</v>
      </c>
      <c r="G15" s="415">
        <f t="shared" ref="G15:G18" si="4">IF(ISNUMBER(F15/B15),F15/B15," - ")</f>
        <v>313.75</v>
      </c>
      <c r="H15" s="414">
        <f>IF(ISNUMBER(Datos!O15),Datos!O15," - ")</f>
        <v>61</v>
      </c>
      <c r="I15" s="415">
        <f t="shared" ref="I15:I17" si="5">IF(ISNUMBER(H15/B15),H15/B15," - ")</f>
        <v>15.25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14</v>
      </c>
      <c r="E17" s="415">
        <f>IF(ISNUMBER(D17/B17),D17/B17," - ")</f>
        <v>14</v>
      </c>
      <c r="F17" s="414">
        <f>IF(ISNUMBER(Datos!N17),Datos!N17," - ")</f>
        <v>242</v>
      </c>
      <c r="G17" s="415">
        <f>IF(ISNUMBER(F17/B17),F17/B17," - ")</f>
        <v>242</v>
      </c>
      <c r="H17" s="414">
        <f>IF(ISNUMBER(Datos!O17),Datos!O17," - ")</f>
        <v>0</v>
      </c>
      <c r="I17" s="415">
        <f t="shared" si="5"/>
        <v>0</v>
      </c>
    </row>
    <row r="18" spans="1:9" ht="14.25" thickTop="1" thickBot="1">
      <c r="A18" s="994" t="str">
        <f>Datos!A18</f>
        <v>TOTAL</v>
      </c>
      <c r="B18" s="995">
        <f>Datos!AO18</f>
        <v>5</v>
      </c>
      <c r="C18" s="997">
        <f>Datos!AR18</f>
        <v>5</v>
      </c>
      <c r="D18" s="995">
        <f>SUBTOTAL(9,D15:D17)</f>
        <v>323</v>
      </c>
      <c r="E18" s="996">
        <f t="shared" si="3"/>
        <v>64.599999999999994</v>
      </c>
      <c r="F18" s="995">
        <f>SUBTOTAL(9,F15:F17)</f>
        <v>1497</v>
      </c>
      <c r="G18" s="996">
        <f t="shared" si="4"/>
        <v>299.39999999999998</v>
      </c>
      <c r="H18" s="995">
        <f>SUBTOTAL(9,H15:H17)</f>
        <v>61</v>
      </c>
      <c r="I18" s="996">
        <f>IF(ISNUMBER(H18/B18),H18/B18," - ")</f>
        <v>12.2</v>
      </c>
    </row>
    <row r="19" spans="1:9" ht="14.25" thickTop="1" thickBot="1">
      <c r="A19" s="939" t="str">
        <f>Datos!A19</f>
        <v>TOTAL JURISDICCIONES</v>
      </c>
      <c r="B19" s="940">
        <f>Datos!AP19</f>
        <v>11</v>
      </c>
      <c r="C19" s="940">
        <f>Datos!AR19</f>
        <v>11</v>
      </c>
      <c r="D19" s="940">
        <f>SUBTOTAL(9,D8:D18)</f>
        <v>735</v>
      </c>
      <c r="E19" s="941">
        <f>IF(ISNUMBER(D19/B19),D19/B19," - ")</f>
        <v>66.818181818181813</v>
      </c>
      <c r="F19" s="940">
        <f>SUBTOTAL(9,F8:F18)</f>
        <v>3398</v>
      </c>
      <c r="G19" s="941">
        <f>IF(ISNUMBER(F19/B19),F19/B19," - ")</f>
        <v>308.90909090909093</v>
      </c>
      <c r="H19" s="940">
        <f>SUBTOTAL(9,H8:H18)</f>
        <v>1135</v>
      </c>
      <c r="I19" s="941">
        <f>IF(ISNUMBER(H19/B19),H19/B19," - ")</f>
        <v>103.18181818181819</v>
      </c>
    </row>
    <row r="22" spans="1:9">
      <c r="A22" s="402" t="str">
        <f>Criterios!A4</f>
        <v>Fecha Informe: 06 oct. 2023</v>
      </c>
    </row>
    <row r="27" spans="1:9">
      <c r="A27" s="425"/>
    </row>
  </sheetData>
  <sheetProtection algorithmName="SHA-512" hashValue="kQap5E1C7hKCmqJlwgZqmac5WiU975wbowrf8/BJXpXsTHGGVaGCoyyaVAvHL1+mSaO4AjNlk3Mi5+a+SRgaLQ==" saltValue="2PXXgEuoTXQreIK+cFwH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TORREJON DE ARDOZ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538</v>
      </c>
      <c r="C9" s="450">
        <f>IF(ISNUMBER(Datos!Q9),Datos!Q9," - ")</f>
        <v>330</v>
      </c>
      <c r="D9" s="419">
        <f>IF(ISNUMBER(Datos!R9),Datos!R9," - ")</f>
        <v>7419</v>
      </c>
    </row>
    <row r="10" spans="1:4">
      <c r="A10" s="413" t="str">
        <f>Datos!A10</f>
        <v>Jdos. Violencia contra la mujer</v>
      </c>
      <c r="B10" s="449">
        <f>IF(ISNUMBER(Datos!P10),Datos!P10," - ")</f>
        <v>4</v>
      </c>
      <c r="C10" s="450">
        <f>IF(ISNUMBER(Datos!Q10),Datos!Q10," - ")</f>
        <v>7</v>
      </c>
      <c r="D10" s="419">
        <f>IF(ISNUMBER(Datos!R10),Datos!R10," - ")</f>
        <v>73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542</v>
      </c>
      <c r="C13" s="999">
        <f>SUBTOTAL(9,C9:C12)</f>
        <v>337</v>
      </c>
      <c r="D13" s="997">
        <f>SUBTOTAL(9,D9:D12)</f>
        <v>7492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87</v>
      </c>
      <c r="C15" s="450">
        <f>IF(ISNUMBER(Datos!Q15),Datos!Q15," - ")</f>
        <v>110</v>
      </c>
      <c r="D15" s="419">
        <f>IF(ISNUMBER(Datos!R15),Datos!R15," - ")</f>
        <v>405</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4</v>
      </c>
      <c r="C17" s="450">
        <f>IF(ISNUMBER(Datos!Q17),Datos!Q17," - ")</f>
        <v>6</v>
      </c>
      <c r="D17" s="419">
        <f>IF(ISNUMBER(Datos!R17),Datos!R17," - ")</f>
        <v>3</v>
      </c>
    </row>
    <row r="18" spans="1:4" ht="14.25" thickTop="1" thickBot="1">
      <c r="A18" s="994" t="str">
        <f>Datos!A18</f>
        <v>TOTAL</v>
      </c>
      <c r="B18" s="995">
        <f>SUBTOTAL(9,B15:B17)</f>
        <v>91</v>
      </c>
      <c r="C18" s="999">
        <f>SUBTOTAL(9,C15:C17)</f>
        <v>116</v>
      </c>
      <c r="D18" s="997">
        <f>SUBTOTAL(9,D15:D17)</f>
        <v>408</v>
      </c>
    </row>
    <row r="19" spans="1:4" ht="16.5" customHeight="1" thickTop="1" thickBot="1">
      <c r="A19" s="939" t="str">
        <f>Datos!A19</f>
        <v>TOTAL JURISDICCIONES</v>
      </c>
      <c r="B19" s="944">
        <f>SUBTOTAL(9,B8:B18)</f>
        <v>633</v>
      </c>
      <c r="C19" s="945">
        <f>SUBTOTAL(9,C8:C18)</f>
        <v>453</v>
      </c>
      <c r="D19" s="946">
        <f>SUBTOTAL(9,D8:D18)</f>
        <v>7900</v>
      </c>
    </row>
    <row r="20" spans="1:4" ht="7.5" customHeight="1"/>
    <row r="21" spans="1:4" ht="6" customHeight="1"/>
    <row r="22" spans="1:4">
      <c r="A22" s="402" t="str">
        <f>Criterios!A4</f>
        <v>Fecha Informe: 06 oct. 2023</v>
      </c>
    </row>
    <row r="27" spans="1:4">
      <c r="A27" s="425"/>
    </row>
  </sheetData>
  <sheetProtection algorithmName="SHA-512" hashValue="YOo2G3In8qYhZaY0rSu6UcA5h1i3wT0Q7NQDo2mLqUkgtMMjWcd5VDbEjitegvvMN0Z4I7pxVAwKmCabErznBA==" saltValue="2OfCrg1jSIl7HzBDmatR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TORREJON DE ARDOZ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0.56743278404163056</v>
      </c>
      <c r="C9" s="472">
        <f>IF(ISNUMBER(
   IF(J_V="SI",(Datos!J9-Datos!T9)/Datos!T9,(Datos!J9+Datos!Z9-(Datos!T9+Datos!AH9))/(Datos!T9+Datos!AH9))
     ),IF(J_V="SI",(Datos!J9-Datos!T9)/Datos!T9,(Datos!J9+Datos!Z9-(Datos!T9+Datos!AH9))/(Datos!T9+Datos!AH9))," - ")</f>
        <v>0.40258342303552208</v>
      </c>
      <c r="D9" s="472">
        <f>IF(ISNUMBER(
   IF(J_V="SI",(Datos!K9-Datos!U9)/Datos!U9,(Datos!K9+Datos!AA9-(Datos!U9+Datos!AI9))/(Datos!U9+Datos!AI9))
     ),IF(J_V="SI",(Datos!K9-Datos!U9)/Datos!U9,(Datos!K9+Datos!AA9-(Datos!U9+Datos!AI9))/(Datos!U9+Datos!AI9))," - ")</f>
        <v>0.15367483296213807</v>
      </c>
      <c r="E9" s="472">
        <f>IF(ISNUMBER(
   IF(J_V="SI",(Datos!L9-Datos!V9)/Datos!V9,(Datos!L9+Datos!AB9-(Datos!V9+Datos!AJ9))/(Datos!V9+Datos!AJ9))
     ),IF(J_V="SI",(Datos!L9-Datos!V9)/Datos!V9,(Datos!L9+Datos!AB9-(Datos!V9+Datos!AJ9))/(Datos!V9+Datos!AJ9))," - ")</f>
        <v>0.35453931825852175</v>
      </c>
      <c r="F9" s="472">
        <f>IF(ISNUMBER((Datos!M9-Datos!W9)/Datos!W9),(Datos!M9-Datos!W9)/Datos!W9," - ")</f>
        <v>-0.13656387665198239</v>
      </c>
      <c r="G9" s="473">
        <f>IF(ISNUMBER((Datos!N9-Datos!X9)/Datos!X9),(Datos!N9-Datos!X9)/Datos!X9," - ")</f>
        <v>0.24815560026827632</v>
      </c>
      <c r="H9" s="471">
        <f>IF(ISNUMBER(((NºAsuntos!G9/NºAsuntos!E9)-Datos!BD9)/Datos!BD9),((NºAsuntos!G9/NºAsuntos!E9)-Datos!BD9)/Datos!BD9," - ")</f>
        <v>-0.1774643746570789</v>
      </c>
      <c r="I9" s="472">
        <f>IF(ISNUMBER(((NºAsuntos!I9/NºAsuntos!G9)-Datos!BE9)/Datos!BE9),((NºAsuntos!I9/NºAsuntos!G9)-Datos!BE9)/Datos!BE9," - ")</f>
        <v>0.17410840520864163</v>
      </c>
      <c r="J9" s="477">
        <f>IF(ISNUMBER((('Resol  Asuntos'!D9/NºAsuntos!G9)-Datos!BF9)/Datos!BF9),(('Resol  Asuntos'!D9/NºAsuntos!G9)-Datos!BF9)/Datos!BF9," - ")</f>
        <v>-0.77211013830732145</v>
      </c>
      <c r="K9" s="478">
        <f>IF(ISNUMBER((((NºAsuntos!C9+NºAsuntos!E9)/NºAsuntos!G9)-Datos!BG9)/Datos!BG9),(((NºAsuntos!C9+NºAsuntos!E9)/NºAsuntos!G9)-Datos!BG9)/Datos!BG9," - ")</f>
        <v>0.30482048862911143</v>
      </c>
    </row>
    <row r="10" spans="1:11">
      <c r="A10" s="413" t="str">
        <f>Datos!A10</f>
        <v>Jdos. Violencia contra la mujer</v>
      </c>
      <c r="B10" s="471">
        <f>IF(ISNUMBER((Datos!I10-Datos!S10)/Datos!S10),(Datos!I10-Datos!S10)/Datos!S10," - ")</f>
        <v>3.937007874015748E-2</v>
      </c>
      <c r="C10" s="472">
        <f>IF(ISNUMBER((Datos!J10-Datos!T10)/Datos!T10),(Datos!J10-Datos!T10)/Datos!T10," - ")</f>
        <v>0.38095238095238093</v>
      </c>
      <c r="D10" s="472">
        <f>IF(ISNUMBER((Datos!K10-Datos!U10)/Datos!U10),(Datos!K10-Datos!U10)/Datos!U10," - ")</f>
        <v>0.74358974358974361</v>
      </c>
      <c r="E10" s="472">
        <f>IF(ISNUMBER((Datos!L10-Datos!V10)/Datos!V10),(Datos!L10-Datos!V10)/Datos!V10," - ")</f>
        <v>-6.1538461538461542E-2</v>
      </c>
      <c r="F10" s="472">
        <f>IF(ISNUMBER((Datos!M10-Datos!W10)/Datos!W10),(Datos!M10-Datos!W10)/Datos!W10," - ")</f>
        <v>1.8571428571428572</v>
      </c>
      <c r="G10" s="473">
        <f>IF(ISNUMBER((Datos!N10-Datos!X10)/Datos!X10),(Datos!N10-Datos!X10)/Datos!X10," - ")</f>
        <v>1.6666666666666667</v>
      </c>
      <c r="H10" s="471">
        <f>IF(ISNUMBER(((NºAsuntos!G10/NºAsuntos!E10)-Datos!BD10)/Datos!BD10),((NºAsuntos!G10/NºAsuntos!E10)-Datos!BD10)/Datos!BD10," - ")</f>
        <v>0.26259946949602109</v>
      </c>
      <c r="I10" s="472">
        <f>IF(ISNUMBER(((NºAsuntos!I10/NºAsuntos!G10)-Datos!BE10)/Datos!BE10),((NºAsuntos!I10/NºAsuntos!G10)-Datos!BE10)/Datos!BE10," - ")</f>
        <v>-0.46176470588235297</v>
      </c>
      <c r="J10" s="477">
        <f>IF(ISNUMBER((('Resol  Asuntos'!D10/NºAsuntos!G10)-Datos!BF10)/Datos!BF10),(('Resol  Asuntos'!D10/NºAsuntos!G10)-Datos!BF10)/Datos!BF10," - ")</f>
        <v>0.63865546218487401</v>
      </c>
      <c r="K10" s="478">
        <f>IF(ISNUMBER((((NºAsuntos!C10+NºAsuntos!E10)/NºAsuntos!G10)-Datos!BG10)/Datos!BG10),(((NºAsuntos!C10+NºAsuntos!E10)/NºAsuntos!G10)-Datos!BG10)/Datos!BG10," - ")</f>
        <v>-0.35520361990950228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0.55328128297109092</v>
      </c>
      <c r="C13" s="1001">
        <f>IF(ISNUMBER(
   IF(J_V="SI",(Datos!J13-Datos!T13)/Datos!T13,(Datos!J13+Datos!Z13-(Datos!T13+Datos!AH13))/(Datos!T13+Datos!AH13))
     ),IF(J_V="SI",(Datos!J13-Datos!T13)/Datos!T13,(Datos!J13+Datos!Z13-(Datos!T13+Datos!AH13))/(Datos!T13+Datos!AH13))," - ")</f>
        <v>0.40226228349240012</v>
      </c>
      <c r="D13" s="1001">
        <f>IF(ISNUMBER(
   IF(J_V="SI",(Datos!K13-Datos!U13)/Datos!U13,(Datos!K13+Datos!AA13-(Datos!U13+Datos!AI13))/(Datos!U13+Datos!AI13))
     ),IF(J_V="SI",(Datos!K13-Datos!U13)/Datos!U13,(Datos!K13+Datos!AA13-(Datos!U13+Datos!AI13))/(Datos!U13+Datos!AI13))," - ")</f>
        <v>0.16209293816319062</v>
      </c>
      <c r="E13" s="1001">
        <f>IF(ISNUMBER(
   IF(J_V="SI",(Datos!L13-Datos!V13)/Datos!V13,(Datos!L13+Datos!AB13-(Datos!V13+Datos!AJ13))/(Datos!V13+Datos!AJ13))
     ),IF(J_V="SI",(Datos!L13-Datos!V13)/Datos!V13,(Datos!L13+Datos!AB13-(Datos!V13+Datos!AJ13))/(Datos!V13+Datos!AJ13))," - ")</f>
        <v>0.34560766182298547</v>
      </c>
      <c r="F13" s="1002">
        <f>IF(ISNUMBER((Datos!M13-Datos!W13)/Datos!W13),(Datos!M13-Datos!W13)/Datos!W13," - ")</f>
        <v>-0.10629067245119306</v>
      </c>
      <c r="G13" s="1003">
        <f>IF(ISNUMBER((Datos!N13-Datos!X13)/Datos!X13),(Datos!N13-Datos!X13)/Datos!X13," - ")</f>
        <v>0.26228419654714474</v>
      </c>
      <c r="H13" s="1003">
        <f>IF(ISNUMBER(((NºAsuntos!G13/NºAsuntos!E13)-Datos!BD13)/Datos!BD13),((NºAsuntos!G13/NºAsuntos!E13)-Datos!BD13)/Datos!BD13," - ")</f>
        <v>-0.17127276983522408</v>
      </c>
      <c r="I13" s="1003">
        <f>IF(ISNUMBER(((NºAsuntos!I13/NºAsuntos!G13)-Datos!BE13)/Datos!BE13),((NºAsuntos!I13/NºAsuntos!G13)-Datos!BE13)/Datos!BE13," - ")</f>
        <v>0.15791742435838135</v>
      </c>
      <c r="J13" s="1003">
        <f>IF(ISNUMBER((('Resol  Asuntos'!D13/NºAsuntos!G13)-Datos!BF13)/Datos!BF13),(('Resol  Asuntos'!D13/NºAsuntos!G13)-Datos!BF13)/Datos!BF13," - ")</f>
        <v>-0.76332927530578132</v>
      </c>
      <c r="K13" s="1003">
        <f>IF(ISNUMBER((((NºAsuntos!C13+NºAsuntos!E13)/NºAsuntos!G13)-Datos!BG13)/Datos!BG13),(((NºAsuntos!C13+NºAsuntos!E13)/NºAsuntos!G13)-Datos!BG13)/Datos!BG13," - ")</f>
        <v>0.28804564892081747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0.28246013667425968</v>
      </c>
      <c r="C15" s="472">
        <f>IF(ISNUMBER(
   IF(D_I="SI",(Datos!J15-Datos!T15)/Datos!T15,(Datos!J15+Datos!AD15-(Datos!T15+Datos!AL15))/(Datos!T15+Datos!AL15))
     ),IF(D_I="SI",(Datos!J15-Datos!T15)/Datos!T15,(Datos!J15+Datos!AD15-(Datos!T15+Datos!AL15))/(Datos!T15+Datos!AL15))," - ")</f>
        <v>9.5309381237524957E-2</v>
      </c>
      <c r="D15" s="472">
        <f>IF(ISNUMBER(
   IF(D_I="SI",(Datos!K15-Datos!U15)/Datos!U15,(Datos!K15+Datos!AE15-(Datos!U15+Datos!AM15))/(Datos!U15+Datos!AM15))
     ),IF(D_I="SI",(Datos!K15-Datos!U15)/Datos!U15,(Datos!K15+Datos!AE15-(Datos!U15+Datos!AM15))/(Datos!U15+Datos!AM15))," - ")</f>
        <v>0.11524732279449261</v>
      </c>
      <c r="E15" s="472">
        <f>IF(ISNUMBER(
   IF(D_I="SI",(Datos!L15-Datos!V15)/Datos!V15,(Datos!L15+Datos!AF15-(Datos!V15+Datos!AN15))/(Datos!V15+Datos!AN15))
     ),IF(D_I="SI",(Datos!L15-Datos!V15)/Datos!V15,(Datos!L15+Datos!AF15-(Datos!V15+Datos!AN15))/(Datos!V15+Datos!AN15))," - ")</f>
        <v>0.21465428276573786</v>
      </c>
      <c r="F15" s="472">
        <f>IF(ISNUMBER((Datos!M15-Datos!W15)/Datos!W15),(Datos!M15-Datos!W15)/Datos!W15," - ")</f>
        <v>0.28749999999999998</v>
      </c>
      <c r="G15" s="473">
        <f>IF(ISNUMBER((Datos!N15-Datos!X15)/Datos!X15),(Datos!N15-Datos!X15)/Datos!X15," - ")</f>
        <v>7.9105760963026656E-2</v>
      </c>
      <c r="H15" s="471">
        <f>IF(ISNUMBER(((NºAsuntos!G15/NºAsuntos!E15)-Datos!BD15)/Datos!BD15),((NºAsuntos!G15/NºAsuntos!E15)-Datos!BD15)/Datos!BD15," - ")</f>
        <v>1.82030227244479E-2</v>
      </c>
      <c r="I15" s="472">
        <f>IF(ISNUMBER(((NºAsuntos!I15/NºAsuntos!G15)-Datos!BE15)/Datos!BE15),((NºAsuntos!I15/NºAsuntos!G15)-Datos!BE15)/Datos!BE15," - ")</f>
        <v>8.9134452905172523E-2</v>
      </c>
      <c r="J15" s="477">
        <f>IF(ISNUMBER((('Resol  Asuntos'!D15/NºAsuntos!G15)-Datos!BF15)/Datos!BF15),(('Resol  Asuntos'!D15/NºAsuntos!G15)-Datos!BF15)/Datos!BF15," - ")</f>
        <v>0.15445244627343402</v>
      </c>
      <c r="K15" s="478">
        <f>IF(ISNUMBER((((NºAsuntos!C15+NºAsuntos!E15)/NºAsuntos!G15)-Datos!BG15)/Datos!BG15),(((NºAsuntos!C15+NºAsuntos!E15)/NºAsuntos!G15)-Datos!BG15)/Datos!BG15," - ")</f>
        <v>3.3245945459686038E-2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-0.1111111111111111</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-0.1111111111111111</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-0.19421487603305784</v>
      </c>
      <c r="C17" s="472">
        <f>IF(ISNUMBER(
   IF(D_I="SI",(Datos!J17-Datos!T17)/Datos!T17,(Datos!J17+Datos!AD17-(Datos!T17+Datos!AL17))/(Datos!T17+Datos!AL17))
     ),IF(D_I="SI",(Datos!J17-Datos!T17)/Datos!T17,(Datos!J17+Datos!AD17-(Datos!T17+Datos!AL17))/(Datos!T17+Datos!AL17))," - ")</f>
        <v>4.2857142857142858E-2</v>
      </c>
      <c r="D17" s="472">
        <f>IF(ISNUMBER(
   IF(D_I="SI",(Datos!K17-Datos!U17)/Datos!U17,(Datos!K17+Datos!AE17-(Datos!U17+Datos!AM17))/(Datos!U17+Datos!AM17))
     ),IF(D_I="SI",(Datos!K17-Datos!U17)/Datos!U17,(Datos!K17+Datos!AE17-(Datos!U17+Datos!AM17))/(Datos!U17+Datos!AM17))," - ")</f>
        <v>2.7700831024930748E-3</v>
      </c>
      <c r="E17" s="472">
        <f>IF(ISNUMBER(
   IF(D_I="SI",(Datos!L17-Datos!V17)/Datos!V17,(Datos!L17+Datos!AF17-(Datos!V17+Datos!AN17))/(Datos!V17+Datos!AN17))
     ),IF(D_I="SI",(Datos!L17-Datos!V17)/Datos!V17,(Datos!L17+Datos!AF17-(Datos!V17+Datos!AN17))/(Datos!V17+Datos!AN17))," - ")</f>
        <v>-0.12083333333333333</v>
      </c>
      <c r="F17" s="472">
        <f>IF(ISNUMBER((Datos!M17-Datos!W17)/Datos!W17),(Datos!M17-Datos!W17)/Datos!W17," - ")</f>
        <v>-0.17647058823529413</v>
      </c>
      <c r="G17" s="473">
        <f>IF(ISNUMBER((Datos!N17-Datos!X17)/Datos!X17),(Datos!N17-Datos!X17)/Datos!X17," - ")</f>
        <v>0.26041666666666669</v>
      </c>
      <c r="H17" s="471">
        <f>IF(ISNUMBER(((NºAsuntos!G17/NºAsuntos!E17)-Datos!BD17)/Datos!BD17),((NºAsuntos!G17/NºAsuntos!E17)-Datos!BD17)/Datos!BD17," - ")</f>
        <v>-3.8439646340075038E-2</v>
      </c>
      <c r="I17" s="472">
        <f>IF(ISNUMBER(((NºAsuntos!I17/NºAsuntos!G17)-Datos!BE17)/Datos!BE17),((NºAsuntos!I17/NºAsuntos!G17)-Datos!BE17)/Datos!BE17," - ")</f>
        <v>-0.12326197053406994</v>
      </c>
      <c r="J17" s="477">
        <f>IF(ISNUMBER((('Resol  Asuntos'!D17/NºAsuntos!G17)-Datos!BF17)/Datos!BF17),(('Resol  Asuntos'!D17/NºAsuntos!G17)-Datos!BF17)/Datos!BF17," - ")</f>
        <v>-0.178745531361716</v>
      </c>
      <c r="K17" s="478">
        <f>IF(ISNUMBER((((NºAsuntos!C17+NºAsuntos!E17)/NºAsuntos!G17)-Datos!BG17)/Datos!BG17),(((NºAsuntos!C17+NºAsuntos!E17)/NºAsuntos!G17)-Datos!BG17)/Datos!BG17," - ")</f>
        <v>-5.6667164401971067E-2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0.17714791851195749</v>
      </c>
      <c r="C18" s="1001">
        <f>IF(ISNUMBER(
   IF(Criterios!B14="SI",(Datos!J18-Datos!T18)/Datos!T18,(Datos!J18+Datos!AD18-(Datos!T18+Datos!AL18))/(Datos!T18+Datos!AL18))
     ),IF(Criterios!B14="SI",(Datos!J18-Datos!T18)/Datos!T18,(Datos!J18+Datos!AD18-(Datos!T18+Datos!AL18))/(Datos!T18+Datos!AL18))," - ")</f>
        <v>8.7510620220900601E-2</v>
      </c>
      <c r="D18" s="1001">
        <f>IF(ISNUMBER(
   IF(Criterios!B14="SI",(Datos!K18-Datos!U18)/Datos!U18,(Datos!K18+Datos!AE18-(Datos!U18+Datos!AM18))/(Datos!U18+Datos!AM18))
     ),IF(Criterios!B14="SI",(Datos!K18-Datos!U18)/Datos!U18,(Datos!K18+Datos!AE18-(Datos!U18+Datos!AM18))/(Datos!U18+Datos!AM18))," - ")</f>
        <v>9.7760551248923341E-2</v>
      </c>
      <c r="E18" s="1001">
        <f>IF(ISNUMBER(
   IF(Criterios!B14="SI",(Datos!L18-Datos!V18)/Datos!V18,(Datos!L18+Datos!AF18-(Datos!V18+Datos!AN18))/(Datos!V18+Datos!AN18))
     ),IF(Criterios!B14="SI",(Datos!L18-Datos!V18)/Datos!V18,(Datos!L18+Datos!AF18-(Datos!V18+Datos!AN18))/(Datos!V18+Datos!AN18))," - ")</f>
        <v>0.14614121510673234</v>
      </c>
      <c r="F18" s="1002">
        <f>IF(ISNUMBER((Datos!M18-Datos!W18)/Datos!W18),(Datos!M18-Datos!W18)/Datos!W18," - ")</f>
        <v>0.25680933852140075</v>
      </c>
      <c r="G18" s="1003">
        <f>IF(ISNUMBER((Datos!N18-Datos!X18)/Datos!X18),(Datos!N18-Datos!X18)/Datos!X18," - ")</f>
        <v>0.1047970479704797</v>
      </c>
      <c r="H18" s="1003">
        <f>IF(ISNUMBER(((NºAsuntos!G18/NºAsuntos!E18)-Datos!BD18)/Datos!BD18),((NºAsuntos!G18/NºAsuntos!E18)-Datos!BD18)/Datos!BD18," - ")</f>
        <v>9.4251318906116068E-3</v>
      </c>
      <c r="I18" s="1003">
        <f>IF(ISNUMBER(((NºAsuntos!I18/NºAsuntos!G18)-Datos!BE18)/Datos!BE18),((NºAsuntos!I18/NºAsuntos!G18)-Datos!BE18)/Datos!BE18," - ")</f>
        <v>4.4072146519353768E-2</v>
      </c>
      <c r="J18" s="1003">
        <f>IF(ISNUMBER((('Resol  Asuntos'!D18/NºAsuntos!G18)-Datos!BF18)/Datos!BF18),(('Resol  Asuntos'!D18/NºAsuntos!G18)-Datos!BF18)/Datos!BF18," - ")</f>
        <v>0.14488477208579542</v>
      </c>
      <c r="K18" s="1003">
        <f>IF(ISNUMBER((((NºAsuntos!C18+NºAsuntos!E18)/NºAsuntos!G18)-Datos!BG18)/Datos!BG18),(((NºAsuntos!C18+NºAsuntos!E18)/NºAsuntos!G18)-Datos!BG18)/Datos!BG18," - ")</f>
        <v>1.7130901006930859E-2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0.48091342876618948</v>
      </c>
      <c r="C19" s="948">
        <f>IF(ISNUMBER(
   IF(J_V="SI",(Datos!J19-Datos!T19)/Datos!T19,(Datos!J19+Datos!Z19-(Datos!T19+Datos!AH19))/(Datos!T19+Datos!AH19))
     ),IF(J_V="SI",(Datos!J19-Datos!T19)/Datos!T19,(Datos!J19+Datos!Z19-(Datos!T19+Datos!AH19))/(Datos!T19+Datos!AH19))," - ")</f>
        <v>0.25930928033957168</v>
      </c>
      <c r="D19" s="948">
        <f>IF(ISNUMBER(
   IF(J_V="SI",(Datos!K19-Datos!U19)/Datos!U19,(Datos!K19+Datos!AA19-(Datos!U19+Datos!AI19))/(Datos!U19+Datos!AI19))
     ),IF(J_V="SI",(Datos!K19-Datos!U19)/Datos!U19,(Datos!K19+Datos!AA19-(Datos!U19+Datos!AI19))/(Datos!U19+Datos!AI19))," - ")</f>
        <v>0.13254203758654798</v>
      </c>
      <c r="E19" s="948">
        <f>IF(ISNUMBER(
   IF(J_V="SI",(Datos!L19-Datos!V19)/Datos!V19,(Datos!L19+Datos!AB19-(Datos!V19+Datos!AJ19))/(Datos!V19+Datos!AJ19))
     ),IF(J_V="SI",(Datos!L19-Datos!V19)/Datos!V19,(Datos!L19+Datos!AB19-(Datos!V19+Datos!AJ19))/(Datos!V19+Datos!AJ19))," - ")</f>
        <v>0.31220786362386582</v>
      </c>
      <c r="F19" s="949">
        <f>IF(ISNUMBER((Datos!M19-Datos!W19)/Datos!W19),(Datos!M19-Datos!W19)/Datos!W19," - ")</f>
        <v>2.3676880222841225E-2</v>
      </c>
      <c r="G19" s="950">
        <f>IF(ISNUMBER((Datos!N19-Datos!X19)/Datos!X19),(Datos!N19-Datos!X19)/Datos!X19," - ")</f>
        <v>0.18769660957707096</v>
      </c>
      <c r="H19" s="951">
        <f>IF(ISNUMBER((Tasas!B19-Datos!BD19)/Datos!BD19),(Tasas!B19-Datos!BD19)/Datos!BD19," - ")</f>
        <v>-0.10066410589687796</v>
      </c>
      <c r="I19" s="952">
        <f>IF(ISNUMBER((Tasas!C19-Datos!BE19)/Datos!BE19),(Tasas!C19-Datos!BE19)/Datos!BE19," - ")</f>
        <v>0.15863943242247022</v>
      </c>
      <c r="J19" s="953">
        <f>IF(ISNUMBER((Tasas!D19-Datos!BF19)/Datos!BF19),(Tasas!D19-Datos!BF19)/Datos!BF19," - ")</f>
        <v>-0.63020938304781104</v>
      </c>
      <c r="K19" s="953">
        <f>IF(ISNUMBER((Tasas!E19-Datos!BG19)/Datos!BG19),(Tasas!E19-Datos!BG19)/Datos!BG19," - ")</f>
        <v>0.21583077110925564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E8KDgnF7HU6P/nBafBAZY2R/w3XUzGST93ciDjNd9IQMO7jW/ORZFRhRW/t7NQltdbLnEUOdpY87dhWTAJsoQ==" saltValue="4TLmG5dFeIjMDhLO3KI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TORREJON DE ARDOZ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0.79508825786646198</v>
      </c>
      <c r="C9" s="459">
        <f>IF(ISNUMBER(NºAsuntos!I9/NºAsuntos!G9),NºAsuntos!I9/NºAsuntos!G9," - ")</f>
        <v>2.5826898326898329</v>
      </c>
      <c r="D9" s="460">
        <f>IF(ISNUMBER('Resol  Asuntos'!D9/NºAsuntos!G9),'Resol  Asuntos'!D9/NºAsuntos!G9," - ")</f>
        <v>0.12612612612612611</v>
      </c>
      <c r="E9" s="461">
        <f>IF(ISNUMBER((NºAsuntos!C9+NºAsuntos!E9)/NºAsuntos!G9),(NºAsuntos!C9+NºAsuntos!E9)/NºAsuntos!G9," - ")</f>
        <v>3.5836550836550836</v>
      </c>
      <c r="G9" s="479"/>
    </row>
    <row r="10" spans="1:7">
      <c r="A10" s="413" t="str">
        <f>Datos!A10</f>
        <v>Jdos. Violencia contra la mujer</v>
      </c>
      <c r="B10" s="458">
        <f>IF(ISNUMBER(NºAsuntos!G10/NºAsuntos!E10),NºAsuntos!G10/NºAsuntos!E10," - ")</f>
        <v>1.1724137931034482</v>
      </c>
      <c r="C10" s="459">
        <f>IF(ISNUMBER(NºAsuntos!I10/NºAsuntos!G10),NºAsuntos!I10/NºAsuntos!G10," - ")</f>
        <v>1.7941176470588236</v>
      </c>
      <c r="D10" s="460">
        <f>IF(ISNUMBER('Resol  Asuntos'!D10/NºAsuntos!G10),'Resol  Asuntos'!D10/NºAsuntos!G10," - ")</f>
        <v>0.29411764705882354</v>
      </c>
      <c r="E10" s="461">
        <f>IF(ISNUMBER((NºAsuntos!C10+NºAsuntos!E10)/NºAsuntos!G10),(NºAsuntos!C10+NºAsuntos!E10)/NºAsuntos!G10," - ")</f>
        <v>2.7941176470588234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0.80060499117721196</v>
      </c>
      <c r="C13" s="1005">
        <f>IF(ISNUMBER(NºAsuntos!I13/NºAsuntos!G13),NºAsuntos!I13/NºAsuntos!G13," - ")</f>
        <v>2.5658060453400502</v>
      </c>
      <c r="D13" s="1006">
        <f>IF(ISNUMBER('Resol  Asuntos'!D13/NºAsuntos!G13),'Resol  Asuntos'!D13/NºAsuntos!G13," - ")</f>
        <v>0.12972292191435769</v>
      </c>
      <c r="E13" s="1007">
        <f>IF(ISNUMBER((NºAsuntos!C13+NºAsuntos!E13)/NºAsuntos!G13),(NºAsuntos!C13+NºAsuntos!E13)/NºAsuntos!G13," - ")</f>
        <v>3.5667506297229221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0.99635535307517087</v>
      </c>
      <c r="C15" s="459">
        <f>IF(ISNUMBER(NºAsuntos!I15/NºAsuntos!G15),NºAsuntos!I15/NºAsuntos!G15," - ")</f>
        <v>0.53818015546410614</v>
      </c>
      <c r="D15" s="460">
        <f>IF(ISNUMBER('Resol  Asuntos'!D15/NºAsuntos!G15),'Resol  Asuntos'!D15/NºAsuntos!G15," - ")</f>
        <v>0.1412894375857339</v>
      </c>
      <c r="E15" s="461">
        <f>IF(ISNUMBER((NºAsuntos!C15+NºAsuntos!E15)/NºAsuntos!G15),(NºAsuntos!C15+NºAsuntos!E15)/NºAsuntos!G15," - ")</f>
        <v>1.5185185185185186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0.99178082191780825</v>
      </c>
      <c r="C17" s="459">
        <f>IF(ISNUMBER(NºAsuntos!I17/NºAsuntos!G17),NºAsuntos!I17/NºAsuntos!G17," - ")</f>
        <v>0.58287292817679559</v>
      </c>
      <c r="D17" s="460">
        <f>IF(ISNUMBER('Resol  Asuntos'!D17/NºAsuntos!G17),'Resol  Asuntos'!D17/NºAsuntos!G17," - ")</f>
        <v>3.8674033149171269E-2</v>
      </c>
      <c r="E17" s="461">
        <f>IF(ISNUMBER((NºAsuntos!C17+NºAsuntos!E17)/NºAsuntos!G17),(NºAsuntos!C17+NºAsuntos!E17)/NºAsuntos!G17," - ")</f>
        <v>1.5469613259668509</v>
      </c>
      <c r="G17" s="479"/>
    </row>
    <row r="18" spans="1:7" ht="14.25" thickTop="1" thickBot="1">
      <c r="A18" s="994" t="str">
        <f>Datos!A18</f>
        <v>TOTAL</v>
      </c>
      <c r="B18" s="1004">
        <f>IF(ISNUMBER(NºAsuntos!G18/NºAsuntos!E18),NºAsuntos!G18/NºAsuntos!E18," - ")</f>
        <v>0.99570312500000002</v>
      </c>
      <c r="C18" s="1005">
        <f>IF(ISNUMBER(NºAsuntos!I18/NºAsuntos!G18),NºAsuntos!I18/NºAsuntos!G18," - ")</f>
        <v>0.54766575127500983</v>
      </c>
      <c r="D18" s="1008">
        <f>IF(ISNUMBER('Resol  Asuntos'!D18/NºAsuntos!G18),'Resol  Asuntos'!D18/NºAsuntos!G18," - ")</f>
        <v>0.12671635935661044</v>
      </c>
      <c r="E18" s="1007">
        <f>IF(ISNUMBER((NºAsuntos!C18+NºAsuntos!E18)/NºAsuntos!G18),(NºAsuntos!C18+NºAsuntos!E18)/NºAsuntos!G18," - ")</f>
        <v>1.5256963515103963</v>
      </c>
      <c r="G18" s="479"/>
    </row>
    <row r="19" spans="1:7" ht="15.75" customHeight="1" thickTop="1" thickBot="1">
      <c r="A19" s="939" t="str">
        <f>Datos!A19</f>
        <v>TOTAL JURISDICCIONES</v>
      </c>
      <c r="B19" s="954">
        <f>IF(ISNUMBER(NºAsuntos!G19/NºAsuntos!E19),NºAsuntos!G19/NºAsuntos!E19," - ")</f>
        <v>0.87712578519993867</v>
      </c>
      <c r="C19" s="955">
        <f>IF(ISNUMBER(NºAsuntos!I19/NºAsuntos!G19),NºAsuntos!I19/NºAsuntos!G19," - ")</f>
        <v>1.6672489082969433</v>
      </c>
      <c r="D19" s="956">
        <f>IF(ISNUMBER('Resol  Asuntos'!D19/NºAsuntos!G19),'Resol  Asuntos'!D19/NºAsuntos!G19," - ")</f>
        <v>0.12838427947598252</v>
      </c>
      <c r="E19" s="957">
        <f>IF(ISNUMBER((NºAsuntos!C19+NºAsuntos!E19)/NºAsuntos!G19),(NºAsuntos!C19+NºAsuntos!E19)/NºAsuntos!G19," - ")</f>
        <v>2.6579912663755461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nM7lu5wCvg9O8fytJU4jxcNSBNkPdjXYAaNUakGU7YrzJLWXwu7tu2tkM8P4aHrXUPJeeuGXVW6yOz1v784QA==" saltValue="4WwAEvAoJffO7mvckKMD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TORREJON DE ARDOZ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538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330</v>
      </c>
      <c r="Y9" s="343">
        <f>SUM(W9:X9)</f>
        <v>330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7419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392</v>
      </c>
      <c r="AJ9" s="233" t="str">
        <f>IF(ISNUMBER(Datos!BW9),Datos!BW9," - ")</f>
        <v xml:space="preserve"> - </v>
      </c>
      <c r="AK9" s="232" t="str">
        <f>IF(ISNUMBER(Datos!BX9),Datos!BX9," - ")</f>
        <v xml:space="preserve"> - </v>
      </c>
      <c r="AL9" s="247">
        <f>IF(ISNUMBER(NºAsuntos!G9/NºAsuntos!E9),NºAsuntos!G9/NºAsuntos!E9," - ")</f>
        <v>0.79508825786646198</v>
      </c>
      <c r="AM9" s="264">
        <f>IF(ISNUMBER(((NºAsuntos!I9/NºAsuntos!G9)*11)/factor_trimestre),((NºAsuntos!I9/NºAsuntos!G9)*11)/factor_trimestre," - ")</f>
        <v>7.7480694980694986</v>
      </c>
      <c r="AN9" s="248">
        <f>IF(ISNUMBER('Resol  Asuntos'!D9/NºAsuntos!G9),'Resol  Asuntos'!D9/NºAsuntos!G9," - ")</f>
        <v>0.12612612612612611</v>
      </c>
      <c r="AO9" s="249">
        <f>IF(ISNUMBER((NºAsuntos!C9+NºAsuntos!E9)/NºAsuntos!G9),(NºAsuntos!C9+NºAsuntos!E9)/NºAsuntos!G9," - ")</f>
        <v>3.5836550836550836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132</v>
      </c>
      <c r="G10" s="342">
        <f>IF(ISNUMBER(Datos!I10),Datos!I10," - ")</f>
        <v>132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68</v>
      </c>
      <c r="X10" s="230">
        <f>IF(ISNUMBER(Datos!Q10),Datos!Q10," - ")</f>
        <v>7</v>
      </c>
      <c r="Y10" s="343">
        <f t="shared" ref="Y10:Y12" si="0">SUM(W10:X10)</f>
        <v>75</v>
      </c>
      <c r="Z10" s="344" t="str">
        <f>IF(ISNUMBER(Datos!CC10),Datos!CC10," - ")</f>
        <v xml:space="preserve"> - </v>
      </c>
      <c r="AA10" s="341">
        <f>IF(ISNUMBER(Datos!L10),Datos!L10,"-")</f>
        <v>122</v>
      </c>
      <c r="AB10" s="343">
        <f>IF(ISNUMBER(Datos!R10),Datos!R10," - ")</f>
        <v>73</v>
      </c>
      <c r="AC10" s="343">
        <f t="shared" ref="AC10:AC12" si="1">IF(ISNUMBER(AA10+AB10),AA10+AB10," - ")</f>
        <v>195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20</v>
      </c>
      <c r="AJ10" s="235" t="str">
        <f>IF(ISNUMBER(Datos!BW10),Datos!BW10," - ")</f>
        <v xml:space="preserve"> - </v>
      </c>
      <c r="AK10" s="236" t="str">
        <f>IF(ISNUMBER(Datos!BX10),Datos!BX10," - ")</f>
        <v xml:space="preserve"> - </v>
      </c>
      <c r="AL10" s="247">
        <f>IF(ISNUMBER(NºAsuntos!G10/NºAsuntos!E10),NºAsuntos!G10/NºAsuntos!E10," - ")</f>
        <v>1.1724137931034482</v>
      </c>
      <c r="AM10" s="264">
        <f>IF(ISNUMBER(((NºAsuntos!I10/NºAsuntos!G10)*11)/factor_trimestre),((NºAsuntos!I10/NºAsuntos!G10)*11)/factor_trimestre," - ")</f>
        <v>5.382352941176471</v>
      </c>
      <c r="AN10" s="248">
        <f>IF(ISNUMBER('Resol  Asuntos'!D10/NºAsuntos!G10),'Resol  Asuntos'!D10/NºAsuntos!G10," - ")</f>
        <v>0.29411764705882354</v>
      </c>
      <c r="AO10" s="249">
        <f>IF(ISNUMBER((NºAsuntos!C10+NºAsuntos!E10)/NºAsuntos!G10),(NºAsuntos!C10+NºAsuntos!E10)/NºAsuntos!G10," - ")</f>
        <v>2.7941176470588234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132</v>
      </c>
      <c r="G13" s="1012">
        <f t="shared" si="3"/>
        <v>132</v>
      </c>
      <c r="H13" s="1011">
        <f t="shared" si="3"/>
        <v>0</v>
      </c>
      <c r="I13" s="1013">
        <f t="shared" si="3"/>
        <v>0</v>
      </c>
      <c r="J13" s="1013">
        <f t="shared" si="3"/>
        <v>0</v>
      </c>
      <c r="K13" s="1013">
        <f t="shared" si="3"/>
        <v>0</v>
      </c>
      <c r="L13" s="1013">
        <f t="shared" si="3"/>
        <v>542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68</v>
      </c>
      <c r="X13" s="1013">
        <f t="shared" si="4"/>
        <v>337</v>
      </c>
      <c r="Y13" s="1014">
        <f t="shared" si="4"/>
        <v>405</v>
      </c>
      <c r="Z13" s="1014">
        <f t="shared" si="4"/>
        <v>0</v>
      </c>
      <c r="AA13" s="1014">
        <f t="shared" si="4"/>
        <v>122</v>
      </c>
      <c r="AB13" s="1014">
        <f t="shared" si="4"/>
        <v>7492</v>
      </c>
      <c r="AC13" s="1014">
        <f t="shared" si="4"/>
        <v>195</v>
      </c>
      <c r="AD13" s="1014">
        <f t="shared" si="4"/>
        <v>0</v>
      </c>
      <c r="AE13" s="1018">
        <f t="shared" si="4"/>
        <v>0</v>
      </c>
      <c r="AF13" s="1011">
        <f t="shared" si="4"/>
        <v>0</v>
      </c>
      <c r="AG13" s="1019">
        <f t="shared" si="4"/>
        <v>0</v>
      </c>
      <c r="AH13" s="1016">
        <f t="shared" si="4"/>
        <v>0</v>
      </c>
      <c r="AI13" s="1011">
        <f t="shared" si="4"/>
        <v>412</v>
      </c>
      <c r="AJ13" s="1013">
        <f t="shared" si="4"/>
        <v>0</v>
      </c>
      <c r="AK13" s="1016">
        <f>SUBTOTAL(9,AK9:AK12)</f>
        <v>0</v>
      </c>
      <c r="AL13" s="1020">
        <f>IF(ISNUMBER(NºAsuntos!G13/NºAsuntos!E13),NºAsuntos!G13/NºAsuntos!E13," - ")</f>
        <v>0.80060499117721196</v>
      </c>
      <c r="AM13" s="1020">
        <f>IF(ISNUMBER(((NºAsuntos!I13/NºAsuntos!G13)*11)/factor_trimestre),((NºAsuntos!I13/NºAsuntos!G13)*11)/factor_trimestre," - ")</f>
        <v>7.6974181360201506</v>
      </c>
      <c r="AN13" s="1021">
        <f>IF(ISNUMBER('Resol  Asuntos'!D13/NºAsuntos!G13),'Resol  Asuntos'!D13/NºAsuntos!G13," - ")</f>
        <v>0.12972292191435769</v>
      </c>
      <c r="AO13" s="1022">
        <f>IF(ISNUMBER((NºAsuntos!C13+NºAsuntos!E13)/NºAsuntos!G13),(NºAsuntos!C13+NºAsuntos!E13)/NºAsuntos!G13," - ")</f>
        <v>3.5667506297229221</v>
      </c>
      <c r="AP13" s="1023" t="str">
        <f t="shared" si="2"/>
        <v xml:space="preserve"> - </v>
      </c>
      <c r="AQ13" s="1023">
        <f>IF(ISNUMBER((H13-W13+K13)/(F13)),(H13-W13+K13)/(F13)," - ")</f>
        <v>-0.51515151515151514</v>
      </c>
      <c r="AR13" s="1024">
        <f>IF(ISNUMBER((Datos!P13-Datos!Q13)/(Datos!R13-Datos!P13+Datos!Q13)),(Datos!P13-Datos!Q13)/(Datos!R13-Datos!P13+Datos!Q13)," - ")</f>
        <v>2.8132290380128998E-2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1169</v>
      </c>
      <c r="G15" s="342">
        <f>IF(ISNUMBER(IF(D_I="SI",Datos!I15,Datos!I15+Datos!AC15)),IF(D_I="SI",Datos!I15,Datos!I15+Datos!AC15)," - ")</f>
        <v>1126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2187</v>
      </c>
      <c r="X15" s="230">
        <f>IF(ISNUMBER(Datos!Q15),Datos!Q15," - ")</f>
        <v>110</v>
      </c>
      <c r="Y15" s="343">
        <f>SUM(W15)</f>
        <v>2187</v>
      </c>
      <c r="Z15" s="344" t="str">
        <f>IF(ISNUMBER(Datos!CC15),Datos!CC15," - ")</f>
        <v xml:space="preserve"> - </v>
      </c>
      <c r="AA15" s="341">
        <f>IF(ISNUMBER(IF(D_I="SI",Datos!L15,Datos!L15+Datos!AF15)),IF(D_I="SI",Datos!L15,Datos!L15+Datos!AF15)," - ")</f>
        <v>1177</v>
      </c>
      <c r="AB15" s="343">
        <f>IF(ISNUMBER(Datos!R15),Datos!R15," - ")</f>
        <v>405</v>
      </c>
      <c r="AC15" s="343">
        <f t="shared" ref="AC15:AC17" si="6">IF(ISNUMBER(AA15+AB15),AA15+AB15," - ")</f>
        <v>1582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309</v>
      </c>
      <c r="AJ15" s="235" t="str">
        <f>IF(ISNUMBER(Datos!BW15),Datos!BW15," - ")</f>
        <v xml:space="preserve"> - </v>
      </c>
      <c r="AK15" s="236" t="str">
        <f>IF(ISNUMBER(Datos!BX15),Datos!BX15," - ")</f>
        <v xml:space="preserve"> - </v>
      </c>
      <c r="AL15" s="247">
        <f>IF(ISNUMBER(NºAsuntos!G15/NºAsuntos!E15),NºAsuntos!G15/NºAsuntos!E15," - ")</f>
        <v>0.99635535307517087</v>
      </c>
      <c r="AM15" s="264">
        <f>IF(ISNUMBER(((NºAsuntos!I15/NºAsuntos!G15)*11)/factor_trimestre),((NºAsuntos!I15/NºAsuntos!G15)*11)/factor_trimestre," - ")</f>
        <v>1.6145404663923184</v>
      </c>
      <c r="AN15" s="248">
        <f>IF(ISNUMBER('Resol  Asuntos'!D15/NºAsuntos!G15),'Resol  Asuntos'!D15/NºAsuntos!G15," - ")</f>
        <v>0.1412894375857339</v>
      </c>
      <c r="AO15" s="249">
        <f>IF(ISNUMBER((NºAsuntos!C15+NºAsuntos!E15)/NºAsuntos!G15),(NºAsuntos!C15+NºAsuntos!E15)/NºAsuntos!G15," - ")</f>
        <v>1.5185185185185186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8</v>
      </c>
      <c r="G16" s="342">
        <f>IF(ISNUMBER(IF(D_I="SI",Datos!I16,Datos!I16+Datos!AC16)),IF(D_I="SI",Datos!I16,Datos!I16+Datos!AC16)," - ")</f>
        <v>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8</v>
      </c>
      <c r="AB16" s="343">
        <f>IF(ISNUMBER(Datos!R16),Datos!R16," - ")</f>
        <v>0</v>
      </c>
      <c r="AC16" s="343">
        <f t="shared" si="6"/>
        <v>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195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362</v>
      </c>
      <c r="X17" s="230">
        <f>IF(ISNUMBER(Datos!Q17),Datos!Q17," - ")</f>
        <v>6</v>
      </c>
      <c r="Y17" s="343">
        <f t="shared" si="7"/>
        <v>368</v>
      </c>
      <c r="Z17" s="344" t="str">
        <f>IF(ISNUMBER(Datos!CC17),Datos!CC17," - ")</f>
        <v xml:space="preserve"> - </v>
      </c>
      <c r="AA17" s="341">
        <f>IF(ISNUMBER(Datos!L17),Datos!L17,"-")</f>
        <v>211</v>
      </c>
      <c r="AB17" s="343">
        <f>IF(ISNUMBER(Datos!R17),Datos!R17," - ")</f>
        <v>3</v>
      </c>
      <c r="AC17" s="343">
        <f t="shared" si="6"/>
        <v>214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0.99178082191780825</v>
      </c>
      <c r="AM17" s="264">
        <f>IF(ISNUMBER(((NºAsuntos!I17/NºAsuntos!G17)*11)/factor_trimestre),((NºAsuntos!I17/NºAsuntos!G17)*11)/factor_trimestre," - ")</f>
        <v>1.7486187845303869</v>
      </c>
      <c r="AN17" s="248">
        <f>IF(ISNUMBER('Resol  Asuntos'!D17/NºAsuntos!G17),'Resol  Asuntos'!D17/NºAsuntos!G17," - ")</f>
        <v>3.8674033149171269E-2</v>
      </c>
      <c r="AO17" s="249">
        <f>IF(ISNUMBER((NºAsuntos!C17+NºAsuntos!E17)/NºAsuntos!G17),(NºAsuntos!C17+NºAsuntos!E17)/NºAsuntos!G17," - ")</f>
        <v>1.5469613259668509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1177</v>
      </c>
      <c r="G18" s="1012">
        <f>SUBTOTAL(9,G15:G17)</f>
        <v>1329</v>
      </c>
      <c r="H18" s="1011">
        <f t="shared" ref="H18:O18" si="10">SUBTOTAL(9,H14:H17)</f>
        <v>0</v>
      </c>
      <c r="I18" s="1013">
        <f t="shared" si="10"/>
        <v>0</v>
      </c>
      <c r="J18" s="1013">
        <f t="shared" si="10"/>
        <v>0</v>
      </c>
      <c r="K18" s="1013">
        <f t="shared" si="10"/>
        <v>0</v>
      </c>
      <c r="L18" s="1013">
        <f t="shared" si="10"/>
        <v>91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2549</v>
      </c>
      <c r="X18" s="1013">
        <f t="shared" si="11"/>
        <v>116</v>
      </c>
      <c r="Y18" s="1014">
        <f t="shared" si="11"/>
        <v>2555</v>
      </c>
      <c r="Z18" s="1014">
        <f t="shared" si="11"/>
        <v>0</v>
      </c>
      <c r="AA18" s="1014">
        <f t="shared" si="11"/>
        <v>1396</v>
      </c>
      <c r="AB18" s="1014">
        <f t="shared" si="11"/>
        <v>408</v>
      </c>
      <c r="AC18" s="1014">
        <f t="shared" si="11"/>
        <v>1804</v>
      </c>
      <c r="AD18" s="1014">
        <f t="shared" si="11"/>
        <v>0</v>
      </c>
      <c r="AE18" s="1018">
        <f t="shared" si="11"/>
        <v>0</v>
      </c>
      <c r="AF18" s="1011">
        <f t="shared" si="11"/>
        <v>0</v>
      </c>
      <c r="AG18" s="1019">
        <f t="shared" si="11"/>
        <v>0</v>
      </c>
      <c r="AH18" s="1016">
        <f t="shared" si="11"/>
        <v>0</v>
      </c>
      <c r="AI18" s="1011">
        <f t="shared" si="11"/>
        <v>323</v>
      </c>
      <c r="AJ18" s="1013">
        <f t="shared" si="11"/>
        <v>0</v>
      </c>
      <c r="AK18" s="1016">
        <f t="shared" si="11"/>
        <v>0</v>
      </c>
      <c r="AL18" s="1020">
        <f>IF(ISNUMBER(NºAsuntos!G18/NºAsuntos!E18),NºAsuntos!G18/NºAsuntos!E18," - ")</f>
        <v>0.99570312500000002</v>
      </c>
      <c r="AM18" s="1020">
        <f>IF(ISNUMBER(((NºAsuntos!I18/NºAsuntos!G18)*11)/factor_trimestre),((NºAsuntos!I18/NºAsuntos!G18)*11)/factor_trimestre," - ")</f>
        <v>1.6429972538250297</v>
      </c>
      <c r="AN18" s="1021">
        <f>IF(ISNUMBER('Resol  Asuntos'!D18/NºAsuntos!G18),'Resol  Asuntos'!D18/NºAsuntos!G18," - ")</f>
        <v>0.12671635935661044</v>
      </c>
      <c r="AO18" s="1022">
        <f>IF(ISNUMBER((NºAsuntos!C18+NºAsuntos!E18)/NºAsuntos!G18),(NºAsuntos!C18+NºAsuntos!E18)/NºAsuntos!G18," - ")</f>
        <v>1.5256963515103963</v>
      </c>
      <c r="AP18" s="1023" t="str">
        <f t="shared" si="2"/>
        <v xml:space="preserve"> - </v>
      </c>
      <c r="AQ18" s="1023">
        <f>IF(ISNUMBER((H18-W18+K18)/(F18)),(H18-W18+K18)/(F18)," - ")</f>
        <v>-2.1656754460492778</v>
      </c>
      <c r="AR18" s="1024">
        <f>IF(ISNUMBER((Datos!P18-Datos!Q18)/(Datos!R18-Datos!P18+Datos!Q18)),(Datos!P18-Datos!Q18)/(Datos!R18-Datos!P18+Datos!Q18)," - ")</f>
        <v>-5.7736720554272515E-2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1309</v>
      </c>
      <c r="G19" s="967">
        <f t="shared" si="13"/>
        <v>1461</v>
      </c>
      <c r="H19" s="966">
        <f t="shared" si="13"/>
        <v>0</v>
      </c>
      <c r="I19" s="968">
        <f t="shared" si="13"/>
        <v>0</v>
      </c>
      <c r="J19" s="968">
        <f t="shared" si="13"/>
        <v>0</v>
      </c>
      <c r="K19" s="1027">
        <f t="shared" si="13"/>
        <v>0</v>
      </c>
      <c r="L19" s="968">
        <f t="shared" si="13"/>
        <v>633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2617</v>
      </c>
      <c r="X19" s="967">
        <f t="shared" si="14"/>
        <v>453</v>
      </c>
      <c r="Y19" s="974">
        <f t="shared" si="14"/>
        <v>2960</v>
      </c>
      <c r="Z19" s="974">
        <f t="shared" si="14"/>
        <v>0</v>
      </c>
      <c r="AA19" s="974">
        <f t="shared" si="14"/>
        <v>1518</v>
      </c>
      <c r="AB19" s="974">
        <f t="shared" si="14"/>
        <v>7900</v>
      </c>
      <c r="AC19" s="974">
        <f t="shared" si="14"/>
        <v>1999</v>
      </c>
      <c r="AD19" s="974">
        <f t="shared" si="14"/>
        <v>0</v>
      </c>
      <c r="AE19" s="976">
        <f t="shared" si="14"/>
        <v>0</v>
      </c>
      <c r="AF19" s="977">
        <f t="shared" si="14"/>
        <v>0</v>
      </c>
      <c r="AG19" s="978">
        <f t="shared" si="14"/>
        <v>0</v>
      </c>
      <c r="AH19" s="976">
        <f t="shared" si="14"/>
        <v>0</v>
      </c>
      <c r="AI19" s="966">
        <f t="shared" si="14"/>
        <v>735</v>
      </c>
      <c r="AJ19" s="966">
        <f t="shared" si="14"/>
        <v>0</v>
      </c>
      <c r="AK19" s="976">
        <f t="shared" si="14"/>
        <v>0</v>
      </c>
      <c r="AL19" s="1030">
        <f>IF(ISNUMBER(NºAsuntos!G19/NºAsuntos!E19),NºAsuntos!G19/NºAsuntos!E19," - ")</f>
        <v>0.87712578519993867</v>
      </c>
      <c r="AM19" s="1031">
        <f>IF(ISNUMBER(((NºAsuntos!I19/NºAsuntos!G19)*11)/factor_trimestre),((NºAsuntos!I19/NºAsuntos!G19)*11)/factor_trimestre," - ")</f>
        <v>5.0017467248908298</v>
      </c>
      <c r="AN19" s="1031">
        <f>IF(ISNUMBER('Resol  Asuntos'!D19/NºAsuntos!G19),'Resol  Asuntos'!D19/NºAsuntos!G19," - ")</f>
        <v>0.12838427947598252</v>
      </c>
      <c r="AO19" s="1032">
        <f>IF(ISNUMBER((NºAsuntos!C19+NºAsuntos!E19)/NºAsuntos!G19),(NºAsuntos!C19+NºAsuntos!E19)/NºAsuntos!G19," - ")</f>
        <v>2.6579912663755461</v>
      </c>
      <c r="AP19" s="1033" t="str">
        <f t="shared" si="2"/>
        <v xml:space="preserve"> - </v>
      </c>
      <c r="AQ19" s="1034">
        <f>IF(OR(ISNUMBER(FIND("01",Criterios!A8,1)),ISNUMBER(FIND("02",Criterios!A8,1)),ISNUMBER(FIND("03",Criterios!A8,1)),ISNUMBER(FIND("04",Criterios!A8,1))),(I19-W19+K19)/(F19-K19),(H19-W19+K19)/(F19-K19))</f>
        <v>-1.9992360580595874</v>
      </c>
      <c r="AR19" s="1035">
        <f>IF(ISNUMBER((Datos!P19-Datos!Q19)/(Datos!R19-Datos!P19+Datos!Q19)),(Datos!P19-Datos!Q19)/(Datos!R19-Datos!P19+Datos!Q19)," - ")</f>
        <v>2.3316062176165803E-2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594.98260478773659</v>
      </c>
      <c r="G21" s="257">
        <f>IF(ISNUMBER(STDEV(G8:G18)),STDEV(G8:G18),"-")</f>
        <v>580.35161755611568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1170.8859323890892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189.34712391090954</v>
      </c>
      <c r="AJ21" s="256">
        <f t="shared" si="18"/>
        <v>0</v>
      </c>
      <c r="AK21" s="258">
        <f t="shared" si="18"/>
        <v>0</v>
      </c>
      <c r="AL21" s="253">
        <f t="shared" si="18"/>
        <v>0.14235020637240636</v>
      </c>
      <c r="AM21" s="254">
        <f t="shared" si="18"/>
        <v>3.012767203640244</v>
      </c>
      <c r="AN21" s="254">
        <f t="shared" si="18"/>
        <v>8.3005104294445228E-2</v>
      </c>
      <c r="AO21" s="255">
        <f t="shared" si="18"/>
        <v>1.0182040560216923</v>
      </c>
      <c r="AP21" s="295" t="str">
        <f t="shared" si="18"/>
        <v>-</v>
      </c>
      <c r="AQ21" s="296">
        <f t="shared" si="18"/>
        <v>1.1670966640484846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PxD0SffH9gVhRCWrVGzj1spYa/Jqk9EJhMf0TUZ+4EjF2pN1iGdaFQ+8EcTjFWkBiep0e+mh4XAqU1Cn1dJAw==" saltValue="/BrWRP+Wa2Zgs4d3ecn8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TORREJON DE ARDOZ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-0.13656387665198239</v>
      </c>
      <c r="I9" s="359">
        <f>IF(ISNUMBER((Tasas!C9-Datos!BE9)/Datos!BE9),(Tasas!C9-Datos!BE9)/Datos!BE9," - ")</f>
        <v>0.17410840520864163</v>
      </c>
      <c r="J9" s="358">
        <f>IF(ISNUMBER((Tasas!D9-Datos!BF9)/Datos!BF9),(Tasas!D9-Datos!BF9)/Datos!BF9," - ")</f>
        <v>-0.77211013830732145</v>
      </c>
      <c r="K9" s="360">
        <f>IF(ISNUMBER((Tasas!E9-Datos!BG9)/Datos!BG9),(Tasas!E9-Datos!BG9)/Datos!BG9," - ")</f>
        <v>0.30482048862911143</v>
      </c>
      <c r="M9" t="e">
        <f>IF(Monitorios="SI",Datos!CE9,0)</f>
        <v>#REF!</v>
      </c>
      <c r="N9" t="e">
        <f>IF(Monitorios="SI",Datos!CF9,0)</f>
        <v>#REF!</v>
      </c>
      <c r="O9" t="e">
        <f>IF(Monitorios="SI",Datos!CG9,0)</f>
        <v>#REF!</v>
      </c>
      <c r="P9" t="e">
        <f>IF(Monitorios="SI",Datos!CH9,0)</f>
        <v>#REF!</v>
      </c>
      <c r="Q9">
        <f>IF(J_V="SI",0,Datos!AG9)</f>
        <v>156</v>
      </c>
      <c r="R9">
        <f>IF(J_V="SI",0,Datos!AH9)</f>
        <v>216</v>
      </c>
      <c r="S9">
        <f>IF(J_V="SI",0,Datos!AI9)</f>
        <v>205</v>
      </c>
      <c r="T9">
        <f>IF(J_V="SI",0,Datos!AJ9)</f>
        <v>274</v>
      </c>
    </row>
    <row r="10" spans="2:20" ht="14.25">
      <c r="B10" s="279" t="s">
        <v>249</v>
      </c>
      <c r="C10" s="7" t="str">
        <f>Datos!A10</f>
        <v>Jdos. Violencia contra la mujer</v>
      </c>
      <c r="D10" s="361">
        <f>IF(ISNUMBER((Datos!I10-Datos!S10)/Datos!S10),(Datos!I10-Datos!S10)/Datos!S10," - ")</f>
        <v>3.937007874015748E-2</v>
      </c>
      <c r="E10" s="357">
        <f>IF(ISNUMBER((Datos!J10-Datos!T10)/Datos!T10),(Datos!J10-Datos!T10)/Datos!T10," - ")</f>
        <v>0.38095238095238093</v>
      </c>
      <c r="F10" s="357">
        <f>IF(ISNUMBER((Datos!K10-Datos!U10)/Datos!U10),(Datos!K10-Datos!U10)/Datos!U10," - ")</f>
        <v>0.74358974358974361</v>
      </c>
      <c r="G10" s="358">
        <f>IF(ISNUMBER((Datos!L10-Datos!V10)/Datos!V10),(Datos!L10-Datos!V10)/Datos!V10," - ")</f>
        <v>-6.1538461538461542E-2</v>
      </c>
      <c r="H10" s="234">
        <f>IF(ISNUMBER((Datos!M10-Datos!W10)/Datos!W10),(Datos!M10-Datos!W10)/Datos!W10," - ")</f>
        <v>1.8571428571428572</v>
      </c>
      <c r="I10" s="359">
        <f>IF(ISNUMBER((Tasas!C10-Datos!BE10)/Datos!BE10),(Tasas!C10-Datos!BE10)/Datos!BE10," - ")</f>
        <v>-0.46176470588235297</v>
      </c>
      <c r="J10" s="358">
        <f>IF(ISNUMBER((Tasas!D10-Datos!BF10)/Datos!BF10),(Tasas!D10-Datos!BF10)/Datos!BF10," - ")</f>
        <v>0.63865546218487401</v>
      </c>
      <c r="K10" s="360">
        <f>IF(ISNUMBER((Tasas!E10-Datos!BG10)/Datos!BG10),(Tasas!E10-Datos!BG10)/Datos!BG10," - ")</f>
        <v>-0.35520361990950228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-0.10629067245119306</v>
      </c>
      <c r="I13" s="366">
        <f>IF(ISNUMBER((Tasas!C13-Datos!BE13)/Datos!BE13),(Tasas!C13-Datos!BE13)/Datos!BE13," - ")</f>
        <v>0.15791742435838135</v>
      </c>
      <c r="J13" s="364">
        <f>IF(ISNUMBER((Tasas!D13-Datos!BF13)/Datos!BF13),(Tasas!D13-Datos!BF13)/Datos!BF13," - ")</f>
        <v>-0.76332927530578132</v>
      </c>
      <c r="K13" s="367">
        <f>IF(ISNUMBER((Tasas!E13-Datos!BG13)/Datos!BG13),(Tasas!E13-Datos!BG13)/Datos!BG13," - ")</f>
        <v>0.28804564892081747</v>
      </c>
      <c r="M13" t="e">
        <f>IF(Monitorios="SI",Datos!CE13,0)</f>
        <v>#REF!</v>
      </c>
      <c r="N13" t="e">
        <f>IF(Monitorios="SI",Datos!CF13,0)</f>
        <v>#REF!</v>
      </c>
      <c r="O13" t="e">
        <f>IF(Monitorios="SI",Datos!CG13,0)</f>
        <v>#REF!</v>
      </c>
      <c r="P13" t="e">
        <f>IF(Monitorios="SI",Datos!CH13,0)</f>
        <v>#REF!</v>
      </c>
      <c r="Q13">
        <f>IF(J_V="SI",0,Datos!AG13)</f>
        <v>156</v>
      </c>
      <c r="R13">
        <f>IF(J_V="SI",0,Datos!AH13)</f>
        <v>216</v>
      </c>
      <c r="S13">
        <f>IF(J_V="SI",0,Datos!AI13)</f>
        <v>205</v>
      </c>
      <c r="T13">
        <f>IF(J_V="SI",0,Datos!AJ13)</f>
        <v>274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0.28246013667425968</v>
      </c>
      <c r="E15" s="357">
        <f>IF(ISNUMBER(
   IF(D_I="SI",(Datos!J15-Datos!T15)/Datos!T15,(Datos!J15+Datos!AD15-(Datos!T15+Datos!AL15))/(Datos!T15+Datos!AL15))
     ),IF(D_I="SI",(Datos!J15-Datos!T15)/Datos!T15,(Datos!J15+Datos!AD15-(Datos!T15+Datos!AL15))/(Datos!T15+Datos!AL15))," - ")</f>
        <v>9.5309381237524957E-2</v>
      </c>
      <c r="F15" s="357">
        <f>IF(ISNUMBER(
   IF(D_I="SI",(Datos!K15-Datos!U15)/Datos!U15,(Datos!K15+Datos!AE15-(Datos!U15+Datos!AM15))/(Datos!U15+Datos!AM15))
     ),IF(D_I="SI",(Datos!K15-Datos!U15)/Datos!U15,(Datos!K15+Datos!AE15-(Datos!U15+Datos!AM15))/(Datos!U15+Datos!AM15))," - ")</f>
        <v>0.11524732279449261</v>
      </c>
      <c r="G15" s="358">
        <f>IF(ISNUMBER(
   IF(D_I="SI",(Datos!L15-Datos!V15)/Datos!V15,(Datos!L15+Datos!AF15-(Datos!V15+Datos!AN15))/(Datos!V15+Datos!AN15))
     ),IF(D_I="SI",(Datos!L15-Datos!V15)/Datos!V15,(Datos!L15+Datos!AF15-(Datos!V15+Datos!AN15))/(Datos!V15+Datos!AN15))," - ")</f>
        <v>0.21465428276573786</v>
      </c>
      <c r="H15" s="234">
        <f>IF(ISNUMBER((Datos!M15-Datos!W15)/Datos!W15),(Datos!M15-Datos!W15)/Datos!W15," - ")</f>
        <v>0.28749999999999998</v>
      </c>
      <c r="I15" s="359">
        <f>IF(ISNUMBER((Tasas!C15-Datos!BE15)/Datos!BE15),(Tasas!C15-Datos!BE15)/Datos!BE15," - ")</f>
        <v>8.9134452905172523E-2</v>
      </c>
      <c r="J15" s="358">
        <f>IF(ISNUMBER((Tasas!D15-Datos!BF15)/Datos!BF15),(Tasas!D15-Datos!BF15)/Datos!BF15," - ")</f>
        <v>0.15445244627343402</v>
      </c>
      <c r="K15" s="360">
        <f>IF(ISNUMBER((Tasas!E15-Datos!BG15)/Datos!BG15),(Tasas!E15-Datos!BG15)/Datos!BG15," - ")</f>
        <v>3.3245945459686038E-2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-0.1111111111111111</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-0.1111111111111111</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-0.19421487603305784</v>
      </c>
      <c r="E17" s="357">
        <f>IF(ISNUMBER(
   IF(D_I="SI",(Datos!J17-Datos!T17)/Datos!T17,(Datos!J17+Datos!AD17-(Datos!T17+Datos!AL17))/(Datos!T17+Datos!AL17))
     ),IF(D_I="SI",(Datos!J17-Datos!T17)/Datos!T17,(Datos!J17+Datos!AD17-(Datos!T17+Datos!AL17))/(Datos!T17+Datos!AL17))," - ")</f>
        <v>4.2857142857142858E-2</v>
      </c>
      <c r="F17" s="357">
        <f>IF(ISNUMBER(
   IF(D_I="SI",(Datos!K17-Datos!U17)/Datos!U17,(Datos!K17+Datos!AE17-(Datos!U17+Datos!AM17))/(Datos!U17+Datos!AM17))
     ),IF(D_I="SI",(Datos!K17-Datos!U17)/Datos!U17,(Datos!K17+Datos!AE17-(Datos!U17+Datos!AM17))/(Datos!U17+Datos!AM17))," - ")</f>
        <v>2.7700831024930748E-3</v>
      </c>
      <c r="G17" s="358">
        <f>IF(ISNUMBER(
   IF(D_I="SI",(Datos!L17-Datos!V17)/Datos!V17,(Datos!L17+Datos!AF17-(Datos!V17+Datos!AN17))/(Datos!V17+Datos!AN17))
     ),IF(D_I="SI",(Datos!L17-Datos!V17)/Datos!V17,(Datos!L17+Datos!AF17-(Datos!V17+Datos!AN17))/(Datos!V17+Datos!AN17))," - ")</f>
        <v>-0.12083333333333333</v>
      </c>
      <c r="H17" s="234">
        <f>IF(ISNUMBER((Datos!M17-Datos!W17)/Datos!W17),(Datos!M17-Datos!W17)/Datos!W17," - ")</f>
        <v>-0.17647058823529413</v>
      </c>
      <c r="I17" s="359">
        <f>IF(ISNUMBER((Tasas!C17-Datos!BE17)/Datos!BE17),(Tasas!C17-Datos!BE17)/Datos!BE17," - ")</f>
        <v>-0.12326197053406994</v>
      </c>
      <c r="J17" s="358">
        <f>IF(ISNUMBER((Tasas!D17-Datos!BF17)/Datos!BF17),(Tasas!D17-Datos!BF17)/Datos!BF17," - ")</f>
        <v>-0.178745531361716</v>
      </c>
      <c r="K17" s="360">
        <f>IF(ISNUMBER((Tasas!E17-Datos!BG17)/Datos!BG17),(Tasas!E17-Datos!BG17)/Datos!BG17," - ")</f>
        <v>-5.6667164401971067E-2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0.17714791851195749</v>
      </c>
      <c r="E18" s="363">
        <f>IF(ISNUMBER(
   IF(D_I="SI",(Datos!J18-Datos!T18)/Datos!T18,(Datos!J18+Datos!AD18-(Datos!T18+Datos!AL18))/(Datos!T18+Datos!AL18))
     ),IF(D_I="SI",(Datos!J18-Datos!T18)/Datos!T18,(Datos!J18+Datos!AD18-(Datos!T18+Datos!AL18))/(Datos!T18+Datos!AL18))," - ")</f>
        <v>8.7510620220900601E-2</v>
      </c>
      <c r="F18" s="363">
        <f>IF(ISNUMBER(
   IF(D_I="SI",(Datos!K18-Datos!U18)/Datos!U18,(Datos!K18+Datos!AE18-(Datos!U18+Datos!AM18))/(Datos!U18+Datos!AM18))
     ),IF(D_I="SI",(Datos!K18-Datos!U18)/Datos!U18,(Datos!K18+Datos!AE18-(Datos!U18+Datos!AM18))/(Datos!U18+Datos!AM18))," - ")</f>
        <v>9.7760551248923341E-2</v>
      </c>
      <c r="G18" s="364">
        <f>IF(ISNUMBER(
   IF(D_I="SI",(Datos!L18-Datos!V18)/Datos!V18,(Datos!L18+Datos!AF18-(Datos!V18+Datos!AN18))/(Datos!V18+Datos!AN18))
     ),IF(D_I="SI",(Datos!L18-Datos!V18)/Datos!V18,(Datos!L18+Datos!AF18-(Datos!V18+Datos!AN18))/(Datos!V18+Datos!AN18))," - ")</f>
        <v>0.14614121510673234</v>
      </c>
      <c r="H18" s="365">
        <f>IF(ISNUMBER((Datos!M18-Datos!W18)/Datos!W18),(Datos!M18-Datos!W18)/Datos!W18," - ")</f>
        <v>0.25680933852140075</v>
      </c>
      <c r="I18" s="366">
        <f>IF(ISNUMBER((Tasas!C18-Datos!BE18)/Datos!BE18),(Tasas!C18-Datos!BE18)/Datos!BE18," - ")</f>
        <v>4.4072146519353768E-2</v>
      </c>
      <c r="J18" s="364">
        <f>IF(ISNUMBER((Tasas!D18-Datos!BF18)/Datos!BF18),(Tasas!D18-Datos!BF18)/Datos!BF18," - ")</f>
        <v>0.14488477208579542</v>
      </c>
      <c r="K18" s="367">
        <f>IF(ISNUMBER((Tasas!E18-Datos!BG18)/Datos!BG18),(Tasas!E18-Datos!BG18)/Datos!BG18," - ")</f>
        <v>1.7130901006930859E-2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0.48091342876618948</v>
      </c>
      <c r="E19" s="372">
        <f>IF(ISNUMBER(
   IF(J_V="SI",(Datos!J19-Datos!T19)/Datos!T19,(Datos!J19+Datos!Z19-(Datos!T19+Datos!AH19))/(Datos!T19+Datos!AH19))
     ),IF(J_V="SI",(Datos!J19-Datos!T19)/Datos!T19,(Datos!J19+Datos!Z19-(Datos!T19+Datos!AH19))/(Datos!T19+Datos!AH19))," - ")</f>
        <v>0.25930928033957168</v>
      </c>
      <c r="F19" s="372">
        <f>IF(ISNUMBER(
   IF(J_V="SI",(Datos!K19-Datos!U19)/Datos!U19,(Datos!K19+Datos!AA19-(Datos!U19+Datos!AI19))/(Datos!U19+Datos!AI19))
     ),IF(J_V="SI",(Datos!K19-Datos!U19)/Datos!U19,(Datos!K19+Datos!AA19-(Datos!U19+Datos!AI19))/(Datos!U19+Datos!AI19))," - ")</f>
        <v>0.13254203758654798</v>
      </c>
      <c r="G19" s="373">
        <f>IF(ISNUMBER(
   IF(J_V="SI",(Datos!L19-Datos!V19)/Datos!V19,(Datos!L19+Datos!AB19-(Datos!V19+Datos!AJ19))/(Datos!V19+Datos!AJ19))
     ),IF(J_V="SI",(Datos!L19-Datos!V19)/Datos!V19,(Datos!L19+Datos!AB19-(Datos!V19+Datos!AJ19))/(Datos!V19+Datos!AJ19))," - ")</f>
        <v>0.31220786362386582</v>
      </c>
      <c r="H19" s="374">
        <f>IF(ISNUMBER((Datos!M19-Datos!W19)/Datos!W19),(Datos!M19-Datos!W19)/Datos!W19," - ")</f>
        <v>2.3676880222841225E-2</v>
      </c>
      <c r="I19" s="371">
        <f>IF(ISNUMBER((Tasas!C19-Datos!BE19)/Datos!BE19),(Tasas!C19-Datos!BE19)/Datos!BE19," - ")</f>
        <v>0.15863943242247022</v>
      </c>
      <c r="J19" s="372">
        <f>IF(ISNUMBER((Tasas!D19-Datos!BF19)/Datos!BF19),(Tasas!D19-Datos!BF19)/Datos!BF19," - ")</f>
        <v>-0.63020938304781104</v>
      </c>
      <c r="K19" s="373">
        <f>IF(ISNUMBER((Tasas!E19-Datos!BG19)/Datos!BG19),(Tasas!E19-Datos!BG19)/Datos!BG19," - ")</f>
        <v>0.21583077110925564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0.1970279061690102</v>
      </c>
      <c r="E21" s="282">
        <f t="shared" si="1"/>
        <v>0.15460012162434597</v>
      </c>
      <c r="F21" s="282">
        <f t="shared" si="1"/>
        <v>0.33944850106230828</v>
      </c>
      <c r="G21" s="283">
        <f t="shared" si="1"/>
        <v>0.15593337885334091</v>
      </c>
      <c r="H21" s="289">
        <f t="shared" si="1"/>
        <v>0.77509632093038794</v>
      </c>
      <c r="I21" s="281">
        <f t="shared" si="1"/>
        <v>0.24131611404947048</v>
      </c>
      <c r="J21" s="282">
        <f t="shared" si="1"/>
        <v>0.55912273477141761</v>
      </c>
      <c r="K21" s="283">
        <f t="shared" si="1"/>
        <v>0.24402589348724299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MndnQiV0SiyeBbyVlOSHuJPwSwcNty0+6VydKdCsTJrR8Dj/xSvtgrFHyYBUb0Dhral/v6RcpzYX23ct2gew==" saltValue="S8lJnOiBx6zwyXoFxrSQ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